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antos\Downloads\Planilha para gasto doméstico\"/>
    </mc:Choice>
  </mc:AlternateContent>
  <xr:revisionPtr revIDLastSave="0" documentId="13_ncr:1_{93413043-0810-44F8-9E40-7CF6E4974B5C}" xr6:coauthVersionLast="47" xr6:coauthVersionMax="47" xr10:uidLastSave="{00000000-0000-0000-0000-000000000000}"/>
  <bookViews>
    <workbookView xWindow="-120" yWindow="-120" windowWidth="24240" windowHeight="13140" tabRatio="925" xr2:uid="{00000000-000D-0000-FFFF-FFFF00000000}"/>
  </bookViews>
  <sheets>
    <sheet name="Instruções" sheetId="1" r:id="rId1"/>
    <sheet name="Cadastro de Produtos" sheetId="2" r:id="rId2"/>
    <sheet name="Janeiro" sheetId="3" r:id="rId3"/>
    <sheet name="Fevereiro" sheetId="4" r:id="rId4"/>
    <sheet name="Março" sheetId="5" r:id="rId5"/>
    <sheet name="Abril" sheetId="6" r:id="rId6"/>
    <sheet name="Maio" sheetId="7" r:id="rId7"/>
    <sheet name="Junho" sheetId="8" r:id="rId8"/>
    <sheet name="Julho" sheetId="9" r:id="rId9"/>
    <sheet name="Agosto" sheetId="10" r:id="rId10"/>
    <sheet name="Setembro" sheetId="11" r:id="rId11"/>
    <sheet name="Outubro" sheetId="12" r:id="rId12"/>
    <sheet name="Novembro" sheetId="13" r:id="rId13"/>
    <sheet name="Dezembro" sheetId="14" r:id="rId14"/>
    <sheet name="Lista de Produtos" sheetId="15" r:id="rId15"/>
    <sheet name="Painel" sheetId="16" r:id="rId16"/>
  </sheets>
  <definedNames>
    <definedName name="_xlnm.Print_Area" localSheetId="14">'Lista de Produtos'!$A$2:$I$65</definedName>
    <definedName name="_xlnm.Print_Titles" localSheetId="14">'Lista de Produtos'!$2:$5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62" i="16" l="1"/>
  <c r="M62" i="16"/>
  <c r="L62" i="16"/>
  <c r="K62" i="16"/>
  <c r="J62" i="16"/>
  <c r="I62" i="16"/>
  <c r="H62" i="16"/>
  <c r="G62" i="16"/>
  <c r="F62" i="16"/>
  <c r="E62" i="16"/>
  <c r="D62" i="16"/>
  <c r="C62" i="16"/>
  <c r="B62" i="16"/>
  <c r="N61" i="16"/>
  <c r="M61" i="16"/>
  <c r="L61" i="16"/>
  <c r="K61" i="16"/>
  <c r="J61" i="16"/>
  <c r="I61" i="16"/>
  <c r="H61" i="16"/>
  <c r="G61" i="16"/>
  <c r="F61" i="16"/>
  <c r="E61" i="16"/>
  <c r="D61" i="16"/>
  <c r="C61" i="16"/>
  <c r="B61" i="16"/>
  <c r="N60" i="16"/>
  <c r="M60" i="16"/>
  <c r="L60" i="16"/>
  <c r="K60" i="16"/>
  <c r="J60" i="16"/>
  <c r="I60" i="16"/>
  <c r="H60" i="16"/>
  <c r="G60" i="16"/>
  <c r="F60" i="16"/>
  <c r="E60" i="16"/>
  <c r="D60" i="16"/>
  <c r="C60" i="16"/>
  <c r="B60" i="16"/>
  <c r="N59" i="16"/>
  <c r="M59" i="16"/>
  <c r="L59" i="16"/>
  <c r="K59" i="16"/>
  <c r="J59" i="16"/>
  <c r="I59" i="16"/>
  <c r="H59" i="16"/>
  <c r="G59" i="16"/>
  <c r="F59" i="16"/>
  <c r="E59" i="16"/>
  <c r="D59" i="16"/>
  <c r="C59" i="16"/>
  <c r="B59" i="16"/>
  <c r="N58" i="16"/>
  <c r="M58" i="16"/>
  <c r="L58" i="16"/>
  <c r="K58" i="16"/>
  <c r="J58" i="16"/>
  <c r="I58" i="16"/>
  <c r="H58" i="16"/>
  <c r="G58" i="16"/>
  <c r="F58" i="16"/>
  <c r="E58" i="16"/>
  <c r="D58" i="16"/>
  <c r="C58" i="16"/>
  <c r="B58" i="16"/>
  <c r="N57" i="16"/>
  <c r="M57" i="16"/>
  <c r="L57" i="16"/>
  <c r="K57" i="16"/>
  <c r="J57" i="16"/>
  <c r="I57" i="16"/>
  <c r="H57" i="16"/>
  <c r="G57" i="16"/>
  <c r="F57" i="16"/>
  <c r="E57" i="16"/>
  <c r="D57" i="16"/>
  <c r="C57" i="16"/>
  <c r="B57" i="16"/>
  <c r="N56" i="16"/>
  <c r="M56" i="16"/>
  <c r="L56" i="16"/>
  <c r="K56" i="16"/>
  <c r="J56" i="16"/>
  <c r="I56" i="16"/>
  <c r="H56" i="16"/>
  <c r="G56" i="16"/>
  <c r="F56" i="16"/>
  <c r="E56" i="16"/>
  <c r="D56" i="16"/>
  <c r="C56" i="16"/>
  <c r="B56" i="16"/>
  <c r="N55" i="16"/>
  <c r="M55" i="16"/>
  <c r="L55" i="16"/>
  <c r="K55" i="16"/>
  <c r="J55" i="16"/>
  <c r="I55" i="16"/>
  <c r="H55" i="16"/>
  <c r="G55" i="16"/>
  <c r="F55" i="16"/>
  <c r="E55" i="16"/>
  <c r="D55" i="16"/>
  <c r="C55" i="16"/>
  <c r="B55" i="16"/>
  <c r="N54" i="16"/>
  <c r="M54" i="16"/>
  <c r="L54" i="16"/>
  <c r="K54" i="16"/>
  <c r="J54" i="16"/>
  <c r="I54" i="16"/>
  <c r="H54" i="16"/>
  <c r="G54" i="16"/>
  <c r="F54" i="16"/>
  <c r="E54" i="16"/>
  <c r="D54" i="16"/>
  <c r="C54" i="16"/>
  <c r="B54" i="16"/>
  <c r="N53" i="16"/>
  <c r="M53" i="16"/>
  <c r="L53" i="16"/>
  <c r="K53" i="16"/>
  <c r="J53" i="16"/>
  <c r="I53" i="16"/>
  <c r="H53" i="16"/>
  <c r="G53" i="16"/>
  <c r="F53" i="16"/>
  <c r="E53" i="16"/>
  <c r="D53" i="16"/>
  <c r="C53" i="16"/>
  <c r="B53" i="16"/>
  <c r="N52" i="16"/>
  <c r="M52" i="16"/>
  <c r="L52" i="16"/>
  <c r="K52" i="16"/>
  <c r="J52" i="16"/>
  <c r="I52" i="16"/>
  <c r="H52" i="16"/>
  <c r="G52" i="16"/>
  <c r="F52" i="16"/>
  <c r="E52" i="16"/>
  <c r="D52" i="16"/>
  <c r="C52" i="16"/>
  <c r="B52" i="16"/>
  <c r="N51" i="16"/>
  <c r="M51" i="16"/>
  <c r="L51" i="16"/>
  <c r="K51" i="16"/>
  <c r="J51" i="16"/>
  <c r="I51" i="16"/>
  <c r="H51" i="16"/>
  <c r="G51" i="16"/>
  <c r="F51" i="16"/>
  <c r="E51" i="16"/>
  <c r="D51" i="16"/>
  <c r="C51" i="16"/>
  <c r="B51" i="16"/>
  <c r="N50" i="16"/>
  <c r="M50" i="16"/>
  <c r="L50" i="16"/>
  <c r="K50" i="16"/>
  <c r="J50" i="16"/>
  <c r="I50" i="16"/>
  <c r="H50" i="16"/>
  <c r="G50" i="16"/>
  <c r="F50" i="16"/>
  <c r="E50" i="16"/>
  <c r="D50" i="16"/>
  <c r="C50" i="16"/>
  <c r="B50" i="16"/>
  <c r="N49" i="16"/>
  <c r="M49" i="16"/>
  <c r="L49" i="16"/>
  <c r="K49" i="16"/>
  <c r="J49" i="16"/>
  <c r="I49" i="16"/>
  <c r="H49" i="16"/>
  <c r="G49" i="16"/>
  <c r="F49" i="16"/>
  <c r="E49" i="16"/>
  <c r="D49" i="16"/>
  <c r="C49" i="16"/>
  <c r="B49" i="16"/>
  <c r="N48" i="16"/>
  <c r="M48" i="16"/>
  <c r="L48" i="16"/>
  <c r="K48" i="16"/>
  <c r="J48" i="16"/>
  <c r="I48" i="16"/>
  <c r="H48" i="16"/>
  <c r="G48" i="16"/>
  <c r="F48" i="16"/>
  <c r="E48" i="16"/>
  <c r="D48" i="16"/>
  <c r="C48" i="16"/>
  <c r="B48" i="16"/>
  <c r="N47" i="16"/>
  <c r="M47" i="16"/>
  <c r="L47" i="16"/>
  <c r="K47" i="16"/>
  <c r="J47" i="16"/>
  <c r="I47" i="16"/>
  <c r="H47" i="16"/>
  <c r="G47" i="16"/>
  <c r="F47" i="16"/>
  <c r="E47" i="16"/>
  <c r="D47" i="16"/>
  <c r="C47" i="16"/>
  <c r="B47" i="16"/>
  <c r="N46" i="16"/>
  <c r="M46" i="16"/>
  <c r="L46" i="16"/>
  <c r="K46" i="16"/>
  <c r="J46" i="16"/>
  <c r="I46" i="16"/>
  <c r="H46" i="16"/>
  <c r="G46" i="16"/>
  <c r="F46" i="16"/>
  <c r="E46" i="16"/>
  <c r="D46" i="16"/>
  <c r="C46" i="16"/>
  <c r="B46" i="16"/>
  <c r="N45" i="16"/>
  <c r="M45" i="16"/>
  <c r="L45" i="16"/>
  <c r="K45" i="16"/>
  <c r="J45" i="16"/>
  <c r="I45" i="16"/>
  <c r="H45" i="16"/>
  <c r="G45" i="16"/>
  <c r="F45" i="16"/>
  <c r="E45" i="16"/>
  <c r="D45" i="16"/>
  <c r="C45" i="16"/>
  <c r="B45" i="16"/>
  <c r="N44" i="16"/>
  <c r="M44" i="16"/>
  <c r="L44" i="16"/>
  <c r="K44" i="16"/>
  <c r="I44" i="16"/>
  <c r="H44" i="16"/>
  <c r="G44" i="16"/>
  <c r="F44" i="16"/>
  <c r="E44" i="16"/>
  <c r="D44" i="16"/>
  <c r="C44" i="16"/>
  <c r="B44" i="16"/>
  <c r="N43" i="16"/>
  <c r="M43" i="16"/>
  <c r="L43" i="16"/>
  <c r="K43" i="16"/>
  <c r="I43" i="16"/>
  <c r="H43" i="16"/>
  <c r="G43" i="16"/>
  <c r="F43" i="16"/>
  <c r="E43" i="16"/>
  <c r="D43" i="16"/>
  <c r="C43" i="16"/>
  <c r="B43" i="16"/>
  <c r="H65" i="15"/>
  <c r="H64" i="15"/>
  <c r="H63" i="15"/>
  <c r="H62" i="15"/>
  <c r="H61" i="15"/>
  <c r="H60" i="15"/>
  <c r="H59" i="15"/>
  <c r="H58" i="15"/>
  <c r="H57" i="15"/>
  <c r="H56" i="15"/>
  <c r="H55" i="15"/>
  <c r="H54" i="15"/>
  <c r="H53" i="15"/>
  <c r="H52" i="15"/>
  <c r="H51" i="15"/>
  <c r="H50" i="15"/>
  <c r="H49" i="15"/>
  <c r="H48" i="15"/>
  <c r="H47" i="15"/>
  <c r="H46" i="15"/>
  <c r="H45" i="15"/>
  <c r="H44" i="15"/>
  <c r="H43" i="15"/>
  <c r="H42" i="15"/>
  <c r="H41" i="15"/>
  <c r="H40" i="15"/>
  <c r="H39" i="15"/>
  <c r="H38" i="15"/>
  <c r="H37" i="15"/>
  <c r="H36" i="15"/>
  <c r="H35" i="15"/>
  <c r="H34" i="15"/>
  <c r="H33" i="15"/>
  <c r="H32" i="15"/>
  <c r="H31" i="15"/>
  <c r="H30" i="15"/>
  <c r="H29" i="15"/>
  <c r="H28" i="15"/>
  <c r="H27" i="15"/>
  <c r="H26" i="15"/>
  <c r="H25" i="15"/>
  <c r="H24" i="15"/>
  <c r="H23" i="15"/>
  <c r="H22" i="15"/>
  <c r="H21" i="15"/>
  <c r="H20" i="15"/>
  <c r="H19" i="15"/>
  <c r="H18" i="15"/>
  <c r="H17" i="15"/>
  <c r="H16" i="15"/>
  <c r="H15" i="15"/>
  <c r="H14" i="15"/>
  <c r="H13" i="15"/>
  <c r="H12" i="15"/>
  <c r="H3" i="15"/>
  <c r="D3" i="15"/>
  <c r="I65" i="14"/>
  <c r="H65" i="14"/>
  <c r="C65" i="14"/>
  <c r="I64" i="14"/>
  <c r="H64" i="14"/>
  <c r="C64" i="14"/>
  <c r="I63" i="14"/>
  <c r="H63" i="14"/>
  <c r="C63" i="14"/>
  <c r="I62" i="14"/>
  <c r="H62" i="14"/>
  <c r="C62" i="14"/>
  <c r="I61" i="14"/>
  <c r="H61" i="14"/>
  <c r="C61" i="14"/>
  <c r="I60" i="14"/>
  <c r="H60" i="14"/>
  <c r="C60" i="14"/>
  <c r="I59" i="14"/>
  <c r="H59" i="14"/>
  <c r="C59" i="14"/>
  <c r="I58" i="14"/>
  <c r="H58" i="14"/>
  <c r="C58" i="14"/>
  <c r="I57" i="14"/>
  <c r="H57" i="14"/>
  <c r="C57" i="14"/>
  <c r="I56" i="14"/>
  <c r="H56" i="14"/>
  <c r="C56" i="14"/>
  <c r="I55" i="14"/>
  <c r="H55" i="14"/>
  <c r="C55" i="14"/>
  <c r="I54" i="14"/>
  <c r="H54" i="14"/>
  <c r="C54" i="14"/>
  <c r="I53" i="14"/>
  <c r="H53" i="14"/>
  <c r="C53" i="14"/>
  <c r="I52" i="14"/>
  <c r="H52" i="14"/>
  <c r="C52" i="14"/>
  <c r="I51" i="14"/>
  <c r="H51" i="14"/>
  <c r="C51" i="14"/>
  <c r="I50" i="14"/>
  <c r="H50" i="14"/>
  <c r="C50" i="14"/>
  <c r="I49" i="14"/>
  <c r="H49" i="14"/>
  <c r="C49" i="14"/>
  <c r="I48" i="14"/>
  <c r="H48" i="14"/>
  <c r="C48" i="14"/>
  <c r="I47" i="14"/>
  <c r="H47" i="14"/>
  <c r="C47" i="14"/>
  <c r="I46" i="14"/>
  <c r="H46" i="14"/>
  <c r="C46" i="14"/>
  <c r="I45" i="14"/>
  <c r="H45" i="14"/>
  <c r="C45" i="14"/>
  <c r="I44" i="14"/>
  <c r="H44" i="14"/>
  <c r="C44" i="14"/>
  <c r="I43" i="14"/>
  <c r="H43" i="14"/>
  <c r="C43" i="14"/>
  <c r="I42" i="14"/>
  <c r="H42" i="14"/>
  <c r="C42" i="14"/>
  <c r="I41" i="14"/>
  <c r="H41" i="14"/>
  <c r="C41" i="14"/>
  <c r="I40" i="14"/>
  <c r="H40" i="14"/>
  <c r="C40" i="14"/>
  <c r="I39" i="14"/>
  <c r="H39" i="14"/>
  <c r="C39" i="14"/>
  <c r="I38" i="14"/>
  <c r="H38" i="14"/>
  <c r="C38" i="14"/>
  <c r="I37" i="14"/>
  <c r="H37" i="14"/>
  <c r="C37" i="14"/>
  <c r="I36" i="14"/>
  <c r="H36" i="14"/>
  <c r="C36" i="14"/>
  <c r="I35" i="14"/>
  <c r="H35" i="14"/>
  <c r="C35" i="14"/>
  <c r="I34" i="14"/>
  <c r="H34" i="14"/>
  <c r="C34" i="14"/>
  <c r="I33" i="14"/>
  <c r="H33" i="14"/>
  <c r="C33" i="14"/>
  <c r="I32" i="14"/>
  <c r="H32" i="14"/>
  <c r="C32" i="14"/>
  <c r="I31" i="14"/>
  <c r="H31" i="14"/>
  <c r="C31" i="14"/>
  <c r="I30" i="14"/>
  <c r="H30" i="14"/>
  <c r="C30" i="14"/>
  <c r="I29" i="14"/>
  <c r="H29" i="14"/>
  <c r="C29" i="14"/>
  <c r="I28" i="14"/>
  <c r="H28" i="14"/>
  <c r="C28" i="14"/>
  <c r="I27" i="14"/>
  <c r="H27" i="14"/>
  <c r="C27" i="14"/>
  <c r="I26" i="14"/>
  <c r="H26" i="14"/>
  <c r="C26" i="14"/>
  <c r="I25" i="14"/>
  <c r="H25" i="14"/>
  <c r="C25" i="14"/>
  <c r="I24" i="14"/>
  <c r="H24" i="14"/>
  <c r="C24" i="14"/>
  <c r="I23" i="14"/>
  <c r="H23" i="14"/>
  <c r="C23" i="14"/>
  <c r="I22" i="14"/>
  <c r="H22" i="14"/>
  <c r="C22" i="14"/>
  <c r="I21" i="14"/>
  <c r="H21" i="14"/>
  <c r="C21" i="14"/>
  <c r="I20" i="14"/>
  <c r="H20" i="14"/>
  <c r="C20" i="14"/>
  <c r="I19" i="14"/>
  <c r="H19" i="14"/>
  <c r="C19" i="14"/>
  <c r="I18" i="14"/>
  <c r="H18" i="14"/>
  <c r="C18" i="14"/>
  <c r="I17" i="14"/>
  <c r="H17" i="14"/>
  <c r="C17" i="14"/>
  <c r="I16" i="14"/>
  <c r="H16" i="14"/>
  <c r="C16" i="14"/>
  <c r="I15" i="14"/>
  <c r="H15" i="14"/>
  <c r="C15" i="14"/>
  <c r="I14" i="14"/>
  <c r="H14" i="14"/>
  <c r="C14" i="14"/>
  <c r="I13" i="14"/>
  <c r="H13" i="14"/>
  <c r="C13" i="14"/>
  <c r="I12" i="14"/>
  <c r="H12" i="14"/>
  <c r="C12" i="14"/>
  <c r="I11" i="14"/>
  <c r="H11" i="14"/>
  <c r="C11" i="14"/>
  <c r="I10" i="14"/>
  <c r="H10" i="14"/>
  <c r="C10" i="14"/>
  <c r="I9" i="14"/>
  <c r="H9" i="14"/>
  <c r="C9" i="14"/>
  <c r="I8" i="14"/>
  <c r="H8" i="14"/>
  <c r="C8" i="14"/>
  <c r="I7" i="14"/>
  <c r="H7" i="14"/>
  <c r="C7" i="14"/>
  <c r="I6" i="14"/>
  <c r="H6" i="14"/>
  <c r="C6" i="14"/>
  <c r="I65" i="13"/>
  <c r="H65" i="13"/>
  <c r="C65" i="13"/>
  <c r="I64" i="13"/>
  <c r="H64" i="13"/>
  <c r="C64" i="13"/>
  <c r="I63" i="13"/>
  <c r="H63" i="13"/>
  <c r="C63" i="13"/>
  <c r="I62" i="13"/>
  <c r="H62" i="13"/>
  <c r="C62" i="13"/>
  <c r="I61" i="13"/>
  <c r="H61" i="13"/>
  <c r="C61" i="13"/>
  <c r="I60" i="13"/>
  <c r="H60" i="13"/>
  <c r="C60" i="13"/>
  <c r="I59" i="13"/>
  <c r="H59" i="13"/>
  <c r="C59" i="13"/>
  <c r="I58" i="13"/>
  <c r="H58" i="13"/>
  <c r="C58" i="13"/>
  <c r="I57" i="13"/>
  <c r="H57" i="13"/>
  <c r="C57" i="13"/>
  <c r="I56" i="13"/>
  <c r="H56" i="13"/>
  <c r="C56" i="13"/>
  <c r="I55" i="13"/>
  <c r="H55" i="13"/>
  <c r="C55" i="13"/>
  <c r="I54" i="13"/>
  <c r="H54" i="13"/>
  <c r="C54" i="13"/>
  <c r="I53" i="13"/>
  <c r="H53" i="13"/>
  <c r="C53" i="13"/>
  <c r="I52" i="13"/>
  <c r="H52" i="13"/>
  <c r="C52" i="13"/>
  <c r="I51" i="13"/>
  <c r="H51" i="13"/>
  <c r="C51" i="13"/>
  <c r="I50" i="13"/>
  <c r="H50" i="13"/>
  <c r="C50" i="13"/>
  <c r="I49" i="13"/>
  <c r="H49" i="13"/>
  <c r="C49" i="13"/>
  <c r="I48" i="13"/>
  <c r="H48" i="13"/>
  <c r="C48" i="13"/>
  <c r="I47" i="13"/>
  <c r="H47" i="13"/>
  <c r="C47" i="13"/>
  <c r="I46" i="13"/>
  <c r="H46" i="13"/>
  <c r="C46" i="13"/>
  <c r="I45" i="13"/>
  <c r="H45" i="13"/>
  <c r="C45" i="13"/>
  <c r="I44" i="13"/>
  <c r="H44" i="13"/>
  <c r="C44" i="13"/>
  <c r="I43" i="13"/>
  <c r="H43" i="13"/>
  <c r="C43" i="13"/>
  <c r="I42" i="13"/>
  <c r="H42" i="13"/>
  <c r="C42" i="13"/>
  <c r="I41" i="13"/>
  <c r="H41" i="13"/>
  <c r="C41" i="13"/>
  <c r="I40" i="13"/>
  <c r="H40" i="13"/>
  <c r="C40" i="13"/>
  <c r="I39" i="13"/>
  <c r="H39" i="13"/>
  <c r="C39" i="13"/>
  <c r="I38" i="13"/>
  <c r="H38" i="13"/>
  <c r="C38" i="13"/>
  <c r="I37" i="13"/>
  <c r="H37" i="13"/>
  <c r="C37" i="13"/>
  <c r="I36" i="13"/>
  <c r="H36" i="13"/>
  <c r="C36" i="13"/>
  <c r="I35" i="13"/>
  <c r="H35" i="13"/>
  <c r="C35" i="13"/>
  <c r="I34" i="13"/>
  <c r="H34" i="13"/>
  <c r="C34" i="13"/>
  <c r="I33" i="13"/>
  <c r="H33" i="13"/>
  <c r="C33" i="13"/>
  <c r="I32" i="13"/>
  <c r="H32" i="13"/>
  <c r="C32" i="13"/>
  <c r="I31" i="13"/>
  <c r="H31" i="13"/>
  <c r="C31" i="13"/>
  <c r="I30" i="13"/>
  <c r="H30" i="13"/>
  <c r="C30" i="13"/>
  <c r="I29" i="13"/>
  <c r="H29" i="13"/>
  <c r="C29" i="13"/>
  <c r="I28" i="13"/>
  <c r="H28" i="13"/>
  <c r="C28" i="13"/>
  <c r="I27" i="13"/>
  <c r="H27" i="13"/>
  <c r="C27" i="13"/>
  <c r="I26" i="13"/>
  <c r="H26" i="13"/>
  <c r="C26" i="13"/>
  <c r="I25" i="13"/>
  <c r="H25" i="13"/>
  <c r="C25" i="13"/>
  <c r="I24" i="13"/>
  <c r="H24" i="13"/>
  <c r="C24" i="13"/>
  <c r="I23" i="13"/>
  <c r="H23" i="13"/>
  <c r="C23" i="13"/>
  <c r="I22" i="13"/>
  <c r="H22" i="13"/>
  <c r="C22" i="13"/>
  <c r="I21" i="13"/>
  <c r="H21" i="13"/>
  <c r="C21" i="13"/>
  <c r="I20" i="13"/>
  <c r="H20" i="13"/>
  <c r="C20" i="13"/>
  <c r="I19" i="13"/>
  <c r="H19" i="13"/>
  <c r="C19" i="13"/>
  <c r="I18" i="13"/>
  <c r="H18" i="13"/>
  <c r="C18" i="13"/>
  <c r="I17" i="13"/>
  <c r="H17" i="13"/>
  <c r="C17" i="13"/>
  <c r="I16" i="13"/>
  <c r="H16" i="13"/>
  <c r="C16" i="13"/>
  <c r="I15" i="13"/>
  <c r="H15" i="13"/>
  <c r="C15" i="13"/>
  <c r="I14" i="13"/>
  <c r="H14" i="13"/>
  <c r="C14" i="13"/>
  <c r="I13" i="13"/>
  <c r="H13" i="13"/>
  <c r="C13" i="13"/>
  <c r="I12" i="13"/>
  <c r="H12" i="13"/>
  <c r="C12" i="13"/>
  <c r="I11" i="13"/>
  <c r="H11" i="13"/>
  <c r="C11" i="13"/>
  <c r="I10" i="13"/>
  <c r="H10" i="13"/>
  <c r="C10" i="13"/>
  <c r="I9" i="13"/>
  <c r="H9" i="13"/>
  <c r="C9" i="13"/>
  <c r="I8" i="13"/>
  <c r="H8" i="13"/>
  <c r="C8" i="13"/>
  <c r="I7" i="13"/>
  <c r="H7" i="13"/>
  <c r="C7" i="13"/>
  <c r="I6" i="13"/>
  <c r="H6" i="13"/>
  <c r="C6" i="13"/>
  <c r="I65" i="12"/>
  <c r="H65" i="12"/>
  <c r="C65" i="12"/>
  <c r="I64" i="12"/>
  <c r="H64" i="12"/>
  <c r="C64" i="12"/>
  <c r="I63" i="12"/>
  <c r="H63" i="12"/>
  <c r="C63" i="12"/>
  <c r="I62" i="12"/>
  <c r="H62" i="12"/>
  <c r="C62" i="12"/>
  <c r="I61" i="12"/>
  <c r="H61" i="12"/>
  <c r="C61" i="12"/>
  <c r="I60" i="12"/>
  <c r="H60" i="12"/>
  <c r="C60" i="12"/>
  <c r="I59" i="12"/>
  <c r="H59" i="12"/>
  <c r="C59" i="12"/>
  <c r="I58" i="12"/>
  <c r="H58" i="12"/>
  <c r="C58" i="12"/>
  <c r="I57" i="12"/>
  <c r="H57" i="12"/>
  <c r="C57" i="12"/>
  <c r="I56" i="12"/>
  <c r="H56" i="12"/>
  <c r="C56" i="12"/>
  <c r="I55" i="12"/>
  <c r="H55" i="12"/>
  <c r="C55" i="12"/>
  <c r="I54" i="12"/>
  <c r="H54" i="12"/>
  <c r="C54" i="12"/>
  <c r="I53" i="12"/>
  <c r="H53" i="12"/>
  <c r="C53" i="12"/>
  <c r="I52" i="12"/>
  <c r="H52" i="12"/>
  <c r="C52" i="12"/>
  <c r="I51" i="12"/>
  <c r="H51" i="12"/>
  <c r="C51" i="12"/>
  <c r="I50" i="12"/>
  <c r="H50" i="12"/>
  <c r="C50" i="12"/>
  <c r="I49" i="12"/>
  <c r="H49" i="12"/>
  <c r="C49" i="12"/>
  <c r="I48" i="12"/>
  <c r="H48" i="12"/>
  <c r="C48" i="12"/>
  <c r="I47" i="12"/>
  <c r="H47" i="12"/>
  <c r="C47" i="12"/>
  <c r="I46" i="12"/>
  <c r="H46" i="12"/>
  <c r="C46" i="12"/>
  <c r="I45" i="12"/>
  <c r="H45" i="12"/>
  <c r="C45" i="12"/>
  <c r="I44" i="12"/>
  <c r="H44" i="12"/>
  <c r="C44" i="12"/>
  <c r="I43" i="12"/>
  <c r="H43" i="12"/>
  <c r="C43" i="12"/>
  <c r="I42" i="12"/>
  <c r="H42" i="12"/>
  <c r="C42" i="12"/>
  <c r="I41" i="12"/>
  <c r="H41" i="12"/>
  <c r="C41" i="12"/>
  <c r="I40" i="12"/>
  <c r="H40" i="12"/>
  <c r="C40" i="12"/>
  <c r="I39" i="12"/>
  <c r="H39" i="12"/>
  <c r="C39" i="12"/>
  <c r="I38" i="12"/>
  <c r="H38" i="12"/>
  <c r="C38" i="12"/>
  <c r="I37" i="12"/>
  <c r="H37" i="12"/>
  <c r="C37" i="12"/>
  <c r="I36" i="12"/>
  <c r="H36" i="12"/>
  <c r="C36" i="12"/>
  <c r="I35" i="12"/>
  <c r="H35" i="12"/>
  <c r="C35" i="12"/>
  <c r="I34" i="12"/>
  <c r="H34" i="12"/>
  <c r="C34" i="12"/>
  <c r="I33" i="12"/>
  <c r="H33" i="12"/>
  <c r="C33" i="12"/>
  <c r="I32" i="12"/>
  <c r="H32" i="12"/>
  <c r="C32" i="12"/>
  <c r="I31" i="12"/>
  <c r="H31" i="12"/>
  <c r="C31" i="12"/>
  <c r="I30" i="12"/>
  <c r="H30" i="12"/>
  <c r="C30" i="12"/>
  <c r="I29" i="12"/>
  <c r="H29" i="12"/>
  <c r="C29" i="12"/>
  <c r="I28" i="12"/>
  <c r="H28" i="12"/>
  <c r="C28" i="12"/>
  <c r="I27" i="12"/>
  <c r="H27" i="12"/>
  <c r="C27" i="12"/>
  <c r="I26" i="12"/>
  <c r="H26" i="12"/>
  <c r="C26" i="12"/>
  <c r="I25" i="12"/>
  <c r="H25" i="12"/>
  <c r="C25" i="12"/>
  <c r="I24" i="12"/>
  <c r="H24" i="12"/>
  <c r="C24" i="12"/>
  <c r="I23" i="12"/>
  <c r="H23" i="12"/>
  <c r="C23" i="12"/>
  <c r="I22" i="12"/>
  <c r="H22" i="12"/>
  <c r="C22" i="12"/>
  <c r="I21" i="12"/>
  <c r="H21" i="12"/>
  <c r="C21" i="12"/>
  <c r="I20" i="12"/>
  <c r="H20" i="12"/>
  <c r="C20" i="12"/>
  <c r="I19" i="12"/>
  <c r="H19" i="12"/>
  <c r="C19" i="12"/>
  <c r="I18" i="12"/>
  <c r="H18" i="12"/>
  <c r="C18" i="12"/>
  <c r="I17" i="12"/>
  <c r="H17" i="12"/>
  <c r="C17" i="12"/>
  <c r="I16" i="12"/>
  <c r="H16" i="12"/>
  <c r="C16" i="12"/>
  <c r="I15" i="12"/>
  <c r="H15" i="12"/>
  <c r="C15" i="12"/>
  <c r="I14" i="12"/>
  <c r="H14" i="12"/>
  <c r="C14" i="12"/>
  <c r="I13" i="12"/>
  <c r="H13" i="12"/>
  <c r="C13" i="12"/>
  <c r="I12" i="12"/>
  <c r="H12" i="12"/>
  <c r="C12" i="12"/>
  <c r="I11" i="12"/>
  <c r="H11" i="12"/>
  <c r="C11" i="12"/>
  <c r="I10" i="12"/>
  <c r="H10" i="12"/>
  <c r="C10" i="12"/>
  <c r="I9" i="12"/>
  <c r="H9" i="12"/>
  <c r="C9" i="12"/>
  <c r="I8" i="12"/>
  <c r="H8" i="12"/>
  <c r="C8" i="12"/>
  <c r="I7" i="12"/>
  <c r="H7" i="12"/>
  <c r="C7" i="12"/>
  <c r="I6" i="12"/>
  <c r="H6" i="12"/>
  <c r="C6" i="12"/>
  <c r="I65" i="11"/>
  <c r="H65" i="11"/>
  <c r="C65" i="11"/>
  <c r="I64" i="11"/>
  <c r="H64" i="11"/>
  <c r="C64" i="11"/>
  <c r="I63" i="11"/>
  <c r="H63" i="11"/>
  <c r="C63" i="11"/>
  <c r="I62" i="11"/>
  <c r="H62" i="11"/>
  <c r="C62" i="11"/>
  <c r="I61" i="11"/>
  <c r="H61" i="11"/>
  <c r="C61" i="11"/>
  <c r="I60" i="11"/>
  <c r="H60" i="11"/>
  <c r="C60" i="11"/>
  <c r="I59" i="11"/>
  <c r="H59" i="11"/>
  <c r="C59" i="11"/>
  <c r="I58" i="11"/>
  <c r="H58" i="11"/>
  <c r="C58" i="11"/>
  <c r="I57" i="11"/>
  <c r="H57" i="11"/>
  <c r="C57" i="11"/>
  <c r="I56" i="11"/>
  <c r="H56" i="11"/>
  <c r="C56" i="11"/>
  <c r="I55" i="11"/>
  <c r="H55" i="11"/>
  <c r="C55" i="11"/>
  <c r="I54" i="11"/>
  <c r="H54" i="11"/>
  <c r="C54" i="11"/>
  <c r="I53" i="11"/>
  <c r="H53" i="11"/>
  <c r="C53" i="11"/>
  <c r="I52" i="11"/>
  <c r="H52" i="11"/>
  <c r="C52" i="11"/>
  <c r="I51" i="11"/>
  <c r="H51" i="11"/>
  <c r="C51" i="11"/>
  <c r="I50" i="11"/>
  <c r="H50" i="11"/>
  <c r="C50" i="11"/>
  <c r="I49" i="11"/>
  <c r="H49" i="11"/>
  <c r="C49" i="11"/>
  <c r="I48" i="11"/>
  <c r="H48" i="11"/>
  <c r="C48" i="11"/>
  <c r="I47" i="11"/>
  <c r="H47" i="11"/>
  <c r="C47" i="11"/>
  <c r="I46" i="11"/>
  <c r="H46" i="11"/>
  <c r="C46" i="11"/>
  <c r="I45" i="11"/>
  <c r="H45" i="11"/>
  <c r="C45" i="11"/>
  <c r="I44" i="11"/>
  <c r="H44" i="11"/>
  <c r="C44" i="11"/>
  <c r="I43" i="11"/>
  <c r="H43" i="11"/>
  <c r="C43" i="11"/>
  <c r="I42" i="11"/>
  <c r="H42" i="11"/>
  <c r="C42" i="11"/>
  <c r="I41" i="11"/>
  <c r="H41" i="11"/>
  <c r="C41" i="11"/>
  <c r="I40" i="11"/>
  <c r="H40" i="11"/>
  <c r="C40" i="11"/>
  <c r="I39" i="11"/>
  <c r="H39" i="11"/>
  <c r="C39" i="11"/>
  <c r="I38" i="11"/>
  <c r="H38" i="11"/>
  <c r="C38" i="11"/>
  <c r="I37" i="11"/>
  <c r="H37" i="11"/>
  <c r="C37" i="11"/>
  <c r="I36" i="11"/>
  <c r="H36" i="11"/>
  <c r="C36" i="11"/>
  <c r="I35" i="11"/>
  <c r="H35" i="11"/>
  <c r="C35" i="11"/>
  <c r="I34" i="11"/>
  <c r="H34" i="11"/>
  <c r="C34" i="11"/>
  <c r="I33" i="11"/>
  <c r="H33" i="11"/>
  <c r="C33" i="11"/>
  <c r="I32" i="11"/>
  <c r="H32" i="11"/>
  <c r="C32" i="11"/>
  <c r="I31" i="11"/>
  <c r="H31" i="11"/>
  <c r="C31" i="11"/>
  <c r="I30" i="11"/>
  <c r="H30" i="11"/>
  <c r="C30" i="11"/>
  <c r="I29" i="11"/>
  <c r="H29" i="11"/>
  <c r="C29" i="11"/>
  <c r="I28" i="11"/>
  <c r="H28" i="11"/>
  <c r="C28" i="11"/>
  <c r="I27" i="11"/>
  <c r="H27" i="11"/>
  <c r="C27" i="11"/>
  <c r="I26" i="11"/>
  <c r="H26" i="11"/>
  <c r="C26" i="11"/>
  <c r="I25" i="11"/>
  <c r="H25" i="11"/>
  <c r="C25" i="11"/>
  <c r="I24" i="11"/>
  <c r="H24" i="11"/>
  <c r="C24" i="11"/>
  <c r="I23" i="11"/>
  <c r="H23" i="11"/>
  <c r="C23" i="11"/>
  <c r="I22" i="11"/>
  <c r="H22" i="11"/>
  <c r="C22" i="11"/>
  <c r="I21" i="11"/>
  <c r="H21" i="11"/>
  <c r="C21" i="11"/>
  <c r="I20" i="11"/>
  <c r="H20" i="11"/>
  <c r="C20" i="11"/>
  <c r="I19" i="11"/>
  <c r="H19" i="11"/>
  <c r="C19" i="11"/>
  <c r="I18" i="11"/>
  <c r="H18" i="11"/>
  <c r="C18" i="11"/>
  <c r="I17" i="11"/>
  <c r="H17" i="11"/>
  <c r="C17" i="11"/>
  <c r="I16" i="11"/>
  <c r="H16" i="11"/>
  <c r="C16" i="11"/>
  <c r="I15" i="11"/>
  <c r="H15" i="11"/>
  <c r="C15" i="11"/>
  <c r="I14" i="11"/>
  <c r="H14" i="11"/>
  <c r="C14" i="11"/>
  <c r="I13" i="11"/>
  <c r="H13" i="11"/>
  <c r="C13" i="11"/>
  <c r="I12" i="11"/>
  <c r="H12" i="11"/>
  <c r="C12" i="11"/>
  <c r="I11" i="11"/>
  <c r="H11" i="11"/>
  <c r="C11" i="11"/>
  <c r="I10" i="11"/>
  <c r="H10" i="11"/>
  <c r="C10" i="11"/>
  <c r="I9" i="11"/>
  <c r="H9" i="11"/>
  <c r="C9" i="11"/>
  <c r="I8" i="11"/>
  <c r="H8" i="11"/>
  <c r="C8" i="11"/>
  <c r="I7" i="11"/>
  <c r="H7" i="11"/>
  <c r="C7" i="11"/>
  <c r="I6" i="11"/>
  <c r="H6" i="11"/>
  <c r="C6" i="11"/>
  <c r="I65" i="10"/>
  <c r="H65" i="10"/>
  <c r="C65" i="10"/>
  <c r="I64" i="10"/>
  <c r="H64" i="10"/>
  <c r="C64" i="10"/>
  <c r="I63" i="10"/>
  <c r="H63" i="10"/>
  <c r="C63" i="10"/>
  <c r="I62" i="10"/>
  <c r="H62" i="10"/>
  <c r="C62" i="10"/>
  <c r="I61" i="10"/>
  <c r="H61" i="10"/>
  <c r="C61" i="10"/>
  <c r="I60" i="10"/>
  <c r="H60" i="10"/>
  <c r="C60" i="10"/>
  <c r="I59" i="10"/>
  <c r="H59" i="10"/>
  <c r="C59" i="10"/>
  <c r="I58" i="10"/>
  <c r="H58" i="10"/>
  <c r="C58" i="10"/>
  <c r="I57" i="10"/>
  <c r="H57" i="10"/>
  <c r="C57" i="10"/>
  <c r="I56" i="10"/>
  <c r="H56" i="10"/>
  <c r="C56" i="10"/>
  <c r="I55" i="10"/>
  <c r="H55" i="10"/>
  <c r="C55" i="10"/>
  <c r="I54" i="10"/>
  <c r="H54" i="10"/>
  <c r="C54" i="10"/>
  <c r="I53" i="10"/>
  <c r="H53" i="10"/>
  <c r="C53" i="10"/>
  <c r="I52" i="10"/>
  <c r="H52" i="10"/>
  <c r="C52" i="10"/>
  <c r="I51" i="10"/>
  <c r="H51" i="10"/>
  <c r="C51" i="10"/>
  <c r="I50" i="10"/>
  <c r="H50" i="10"/>
  <c r="C50" i="10"/>
  <c r="I49" i="10"/>
  <c r="H49" i="10"/>
  <c r="C49" i="10"/>
  <c r="I48" i="10"/>
  <c r="H48" i="10"/>
  <c r="C48" i="10"/>
  <c r="I47" i="10"/>
  <c r="H47" i="10"/>
  <c r="C47" i="10"/>
  <c r="I46" i="10"/>
  <c r="H46" i="10"/>
  <c r="C46" i="10"/>
  <c r="I45" i="10"/>
  <c r="H45" i="10"/>
  <c r="C45" i="10"/>
  <c r="I44" i="10"/>
  <c r="H44" i="10"/>
  <c r="C44" i="10"/>
  <c r="I43" i="10"/>
  <c r="H43" i="10"/>
  <c r="C43" i="10"/>
  <c r="I42" i="10"/>
  <c r="H42" i="10"/>
  <c r="C42" i="10"/>
  <c r="I41" i="10"/>
  <c r="H41" i="10"/>
  <c r="C41" i="10"/>
  <c r="I40" i="10"/>
  <c r="H40" i="10"/>
  <c r="C40" i="10"/>
  <c r="I39" i="10"/>
  <c r="H39" i="10"/>
  <c r="C39" i="10"/>
  <c r="I38" i="10"/>
  <c r="H38" i="10"/>
  <c r="C38" i="10"/>
  <c r="I37" i="10"/>
  <c r="H37" i="10"/>
  <c r="C37" i="10"/>
  <c r="I36" i="10"/>
  <c r="H36" i="10"/>
  <c r="C36" i="10"/>
  <c r="I35" i="10"/>
  <c r="H35" i="10"/>
  <c r="C35" i="10"/>
  <c r="I34" i="10"/>
  <c r="H34" i="10"/>
  <c r="C34" i="10"/>
  <c r="I33" i="10"/>
  <c r="H33" i="10"/>
  <c r="C33" i="10"/>
  <c r="I32" i="10"/>
  <c r="H32" i="10"/>
  <c r="C32" i="10"/>
  <c r="I31" i="10"/>
  <c r="H31" i="10"/>
  <c r="C31" i="10"/>
  <c r="I30" i="10"/>
  <c r="H30" i="10"/>
  <c r="C30" i="10"/>
  <c r="I29" i="10"/>
  <c r="H29" i="10"/>
  <c r="C29" i="10"/>
  <c r="I28" i="10"/>
  <c r="H28" i="10"/>
  <c r="C28" i="10"/>
  <c r="I27" i="10"/>
  <c r="H27" i="10"/>
  <c r="C27" i="10"/>
  <c r="I26" i="10"/>
  <c r="H26" i="10"/>
  <c r="C26" i="10"/>
  <c r="I25" i="10"/>
  <c r="H25" i="10"/>
  <c r="C25" i="10"/>
  <c r="I24" i="10"/>
  <c r="H24" i="10"/>
  <c r="C24" i="10"/>
  <c r="I23" i="10"/>
  <c r="H23" i="10"/>
  <c r="C23" i="10"/>
  <c r="I22" i="10"/>
  <c r="H22" i="10"/>
  <c r="C22" i="10"/>
  <c r="I21" i="10"/>
  <c r="H21" i="10"/>
  <c r="C21" i="10"/>
  <c r="I20" i="10"/>
  <c r="H20" i="10"/>
  <c r="C20" i="10"/>
  <c r="I19" i="10"/>
  <c r="H19" i="10"/>
  <c r="C19" i="10"/>
  <c r="I18" i="10"/>
  <c r="H18" i="10"/>
  <c r="C18" i="10"/>
  <c r="I17" i="10"/>
  <c r="H17" i="10"/>
  <c r="C17" i="10"/>
  <c r="I16" i="10"/>
  <c r="H16" i="10"/>
  <c r="C16" i="10"/>
  <c r="I15" i="10"/>
  <c r="H15" i="10"/>
  <c r="C15" i="10"/>
  <c r="I14" i="10"/>
  <c r="H14" i="10"/>
  <c r="C14" i="10"/>
  <c r="I13" i="10"/>
  <c r="H13" i="10"/>
  <c r="C13" i="10"/>
  <c r="I12" i="10"/>
  <c r="H12" i="10"/>
  <c r="C12" i="10"/>
  <c r="I11" i="10"/>
  <c r="H11" i="10"/>
  <c r="C11" i="10"/>
  <c r="I10" i="10"/>
  <c r="H10" i="10"/>
  <c r="C10" i="10"/>
  <c r="I9" i="10"/>
  <c r="H9" i="10"/>
  <c r="C9" i="10"/>
  <c r="I8" i="10"/>
  <c r="H8" i="10"/>
  <c r="C8" i="10"/>
  <c r="I7" i="10"/>
  <c r="H7" i="10"/>
  <c r="C7" i="10"/>
  <c r="I6" i="10"/>
  <c r="H6" i="10"/>
  <c r="C6" i="10"/>
  <c r="I65" i="9"/>
  <c r="H65" i="9"/>
  <c r="C65" i="9"/>
  <c r="I64" i="9"/>
  <c r="H64" i="9"/>
  <c r="C64" i="9"/>
  <c r="I63" i="9"/>
  <c r="H63" i="9"/>
  <c r="C63" i="9"/>
  <c r="I62" i="9"/>
  <c r="H62" i="9"/>
  <c r="C62" i="9"/>
  <c r="I61" i="9"/>
  <c r="H61" i="9"/>
  <c r="C61" i="9"/>
  <c r="I60" i="9"/>
  <c r="H60" i="9"/>
  <c r="C60" i="9"/>
  <c r="I59" i="9"/>
  <c r="H59" i="9"/>
  <c r="C59" i="9"/>
  <c r="I58" i="9"/>
  <c r="H58" i="9"/>
  <c r="C58" i="9"/>
  <c r="I57" i="9"/>
  <c r="H57" i="9"/>
  <c r="C57" i="9"/>
  <c r="I56" i="9"/>
  <c r="H56" i="9"/>
  <c r="C56" i="9"/>
  <c r="I55" i="9"/>
  <c r="H55" i="9"/>
  <c r="C55" i="9"/>
  <c r="I54" i="9"/>
  <c r="H54" i="9"/>
  <c r="C54" i="9"/>
  <c r="I53" i="9"/>
  <c r="H53" i="9"/>
  <c r="C53" i="9"/>
  <c r="I52" i="9"/>
  <c r="H52" i="9"/>
  <c r="C52" i="9"/>
  <c r="I51" i="9"/>
  <c r="H51" i="9"/>
  <c r="C51" i="9"/>
  <c r="I50" i="9"/>
  <c r="H50" i="9"/>
  <c r="C50" i="9"/>
  <c r="I49" i="9"/>
  <c r="H49" i="9"/>
  <c r="C49" i="9"/>
  <c r="I48" i="9"/>
  <c r="H48" i="9"/>
  <c r="C48" i="9"/>
  <c r="I47" i="9"/>
  <c r="H47" i="9"/>
  <c r="C47" i="9"/>
  <c r="I46" i="9"/>
  <c r="H46" i="9"/>
  <c r="C46" i="9"/>
  <c r="I45" i="9"/>
  <c r="H45" i="9"/>
  <c r="C45" i="9"/>
  <c r="I44" i="9"/>
  <c r="H44" i="9"/>
  <c r="C44" i="9"/>
  <c r="I43" i="9"/>
  <c r="H43" i="9"/>
  <c r="C43" i="9"/>
  <c r="I42" i="9"/>
  <c r="H42" i="9"/>
  <c r="C42" i="9"/>
  <c r="I41" i="9"/>
  <c r="H41" i="9"/>
  <c r="C41" i="9"/>
  <c r="I40" i="9"/>
  <c r="H40" i="9"/>
  <c r="C40" i="9"/>
  <c r="I39" i="9"/>
  <c r="H39" i="9"/>
  <c r="C39" i="9"/>
  <c r="I38" i="9"/>
  <c r="H38" i="9"/>
  <c r="C38" i="9"/>
  <c r="I37" i="9"/>
  <c r="H37" i="9"/>
  <c r="C37" i="9"/>
  <c r="I36" i="9"/>
  <c r="H36" i="9"/>
  <c r="C36" i="9"/>
  <c r="I35" i="9"/>
  <c r="H35" i="9"/>
  <c r="C35" i="9"/>
  <c r="I34" i="9"/>
  <c r="H34" i="9"/>
  <c r="C34" i="9"/>
  <c r="I33" i="9"/>
  <c r="H33" i="9"/>
  <c r="C33" i="9"/>
  <c r="I32" i="9"/>
  <c r="H32" i="9"/>
  <c r="C32" i="9"/>
  <c r="I31" i="9"/>
  <c r="H31" i="9"/>
  <c r="C31" i="9"/>
  <c r="I30" i="9"/>
  <c r="H30" i="9"/>
  <c r="C30" i="9"/>
  <c r="I29" i="9"/>
  <c r="H29" i="9"/>
  <c r="C29" i="9"/>
  <c r="I28" i="9"/>
  <c r="H28" i="9"/>
  <c r="C28" i="9"/>
  <c r="I27" i="9"/>
  <c r="H27" i="9"/>
  <c r="C27" i="9"/>
  <c r="I26" i="9"/>
  <c r="H26" i="9"/>
  <c r="C26" i="9"/>
  <c r="I25" i="9"/>
  <c r="H25" i="9"/>
  <c r="C25" i="9"/>
  <c r="I24" i="9"/>
  <c r="H24" i="9"/>
  <c r="C24" i="9"/>
  <c r="I23" i="9"/>
  <c r="H23" i="9"/>
  <c r="C23" i="9"/>
  <c r="I22" i="9"/>
  <c r="H22" i="9"/>
  <c r="C22" i="9"/>
  <c r="I21" i="9"/>
  <c r="H21" i="9"/>
  <c r="C21" i="9"/>
  <c r="I20" i="9"/>
  <c r="H20" i="9"/>
  <c r="C20" i="9"/>
  <c r="I19" i="9"/>
  <c r="H19" i="9"/>
  <c r="C19" i="9"/>
  <c r="I18" i="9"/>
  <c r="H18" i="9"/>
  <c r="C18" i="9"/>
  <c r="I17" i="9"/>
  <c r="H17" i="9"/>
  <c r="C17" i="9"/>
  <c r="I16" i="9"/>
  <c r="H16" i="9"/>
  <c r="C16" i="9"/>
  <c r="I15" i="9"/>
  <c r="H15" i="9"/>
  <c r="C15" i="9"/>
  <c r="I14" i="9"/>
  <c r="H14" i="9"/>
  <c r="C14" i="9"/>
  <c r="I13" i="9"/>
  <c r="H13" i="9"/>
  <c r="C13" i="9"/>
  <c r="I12" i="9"/>
  <c r="H12" i="9"/>
  <c r="C12" i="9"/>
  <c r="I11" i="9"/>
  <c r="H11" i="9"/>
  <c r="C11" i="9"/>
  <c r="I10" i="9"/>
  <c r="H10" i="9"/>
  <c r="C10" i="9"/>
  <c r="I9" i="9"/>
  <c r="H9" i="9"/>
  <c r="C9" i="9"/>
  <c r="I8" i="9"/>
  <c r="H8" i="9"/>
  <c r="C8" i="9"/>
  <c r="I7" i="9"/>
  <c r="H7" i="9"/>
  <c r="C7" i="9"/>
  <c r="I6" i="9"/>
  <c r="H6" i="9"/>
  <c r="C6" i="9"/>
  <c r="I65" i="8"/>
  <c r="H65" i="8"/>
  <c r="C65" i="8"/>
  <c r="I64" i="8"/>
  <c r="H64" i="8"/>
  <c r="C64" i="8"/>
  <c r="I63" i="8"/>
  <c r="H63" i="8"/>
  <c r="C63" i="8"/>
  <c r="I62" i="8"/>
  <c r="H62" i="8"/>
  <c r="C62" i="8"/>
  <c r="I61" i="8"/>
  <c r="H61" i="8"/>
  <c r="C61" i="8"/>
  <c r="I60" i="8"/>
  <c r="H60" i="8"/>
  <c r="C60" i="8"/>
  <c r="I59" i="8"/>
  <c r="H59" i="8"/>
  <c r="C59" i="8"/>
  <c r="I58" i="8"/>
  <c r="H58" i="8"/>
  <c r="C58" i="8"/>
  <c r="I57" i="8"/>
  <c r="H57" i="8"/>
  <c r="C57" i="8"/>
  <c r="I56" i="8"/>
  <c r="H56" i="8"/>
  <c r="C56" i="8"/>
  <c r="I55" i="8"/>
  <c r="H55" i="8"/>
  <c r="C55" i="8"/>
  <c r="I54" i="8"/>
  <c r="H54" i="8"/>
  <c r="C54" i="8"/>
  <c r="I53" i="8"/>
  <c r="H53" i="8"/>
  <c r="C53" i="8"/>
  <c r="I52" i="8"/>
  <c r="H52" i="8"/>
  <c r="C52" i="8"/>
  <c r="I51" i="8"/>
  <c r="H51" i="8"/>
  <c r="C51" i="8"/>
  <c r="I50" i="8"/>
  <c r="H50" i="8"/>
  <c r="C50" i="8"/>
  <c r="I49" i="8"/>
  <c r="H49" i="8"/>
  <c r="C49" i="8"/>
  <c r="I48" i="8"/>
  <c r="H48" i="8"/>
  <c r="C48" i="8"/>
  <c r="I47" i="8"/>
  <c r="H47" i="8"/>
  <c r="C47" i="8"/>
  <c r="I46" i="8"/>
  <c r="H46" i="8"/>
  <c r="C46" i="8"/>
  <c r="I45" i="8"/>
  <c r="H45" i="8"/>
  <c r="C45" i="8"/>
  <c r="I44" i="8"/>
  <c r="H44" i="8"/>
  <c r="C44" i="8"/>
  <c r="I43" i="8"/>
  <c r="H43" i="8"/>
  <c r="C43" i="8"/>
  <c r="I42" i="8"/>
  <c r="H42" i="8"/>
  <c r="C42" i="8"/>
  <c r="I41" i="8"/>
  <c r="H41" i="8"/>
  <c r="C41" i="8"/>
  <c r="I40" i="8"/>
  <c r="H40" i="8"/>
  <c r="C40" i="8"/>
  <c r="I39" i="8"/>
  <c r="H39" i="8"/>
  <c r="C39" i="8"/>
  <c r="I38" i="8"/>
  <c r="H38" i="8"/>
  <c r="C38" i="8"/>
  <c r="I37" i="8"/>
  <c r="H37" i="8"/>
  <c r="C37" i="8"/>
  <c r="I36" i="8"/>
  <c r="H36" i="8"/>
  <c r="C36" i="8"/>
  <c r="I35" i="8"/>
  <c r="H35" i="8"/>
  <c r="C35" i="8"/>
  <c r="I34" i="8"/>
  <c r="H34" i="8"/>
  <c r="C34" i="8"/>
  <c r="I33" i="8"/>
  <c r="H33" i="8"/>
  <c r="C33" i="8"/>
  <c r="I32" i="8"/>
  <c r="H32" i="8"/>
  <c r="C32" i="8"/>
  <c r="I31" i="8"/>
  <c r="H31" i="8"/>
  <c r="C31" i="8"/>
  <c r="I30" i="8"/>
  <c r="H30" i="8"/>
  <c r="C30" i="8"/>
  <c r="I29" i="8"/>
  <c r="H29" i="8"/>
  <c r="C29" i="8"/>
  <c r="I28" i="8"/>
  <c r="H28" i="8"/>
  <c r="C28" i="8"/>
  <c r="I27" i="8"/>
  <c r="H27" i="8"/>
  <c r="C27" i="8"/>
  <c r="I26" i="8"/>
  <c r="H26" i="8"/>
  <c r="C26" i="8"/>
  <c r="I25" i="8"/>
  <c r="H25" i="8"/>
  <c r="C25" i="8"/>
  <c r="I24" i="8"/>
  <c r="H24" i="8"/>
  <c r="C24" i="8"/>
  <c r="I23" i="8"/>
  <c r="H23" i="8"/>
  <c r="C23" i="8"/>
  <c r="I22" i="8"/>
  <c r="H22" i="8"/>
  <c r="C22" i="8"/>
  <c r="I21" i="8"/>
  <c r="H21" i="8"/>
  <c r="C21" i="8"/>
  <c r="I20" i="8"/>
  <c r="H20" i="8"/>
  <c r="C20" i="8"/>
  <c r="I19" i="8"/>
  <c r="H19" i="8"/>
  <c r="C19" i="8"/>
  <c r="I18" i="8"/>
  <c r="H18" i="8"/>
  <c r="C18" i="8"/>
  <c r="I17" i="8"/>
  <c r="H17" i="8"/>
  <c r="C17" i="8"/>
  <c r="I16" i="8"/>
  <c r="H16" i="8"/>
  <c r="C16" i="8"/>
  <c r="I15" i="8"/>
  <c r="H15" i="8"/>
  <c r="C15" i="8"/>
  <c r="I14" i="8"/>
  <c r="H14" i="8"/>
  <c r="C14" i="8"/>
  <c r="I13" i="8"/>
  <c r="H13" i="8"/>
  <c r="C13" i="8"/>
  <c r="I12" i="8"/>
  <c r="H12" i="8"/>
  <c r="C12" i="8"/>
  <c r="I11" i="8"/>
  <c r="H11" i="8"/>
  <c r="C11" i="8"/>
  <c r="I10" i="8"/>
  <c r="H10" i="8"/>
  <c r="C10" i="8"/>
  <c r="I9" i="8"/>
  <c r="H9" i="8"/>
  <c r="C9" i="8"/>
  <c r="I8" i="8"/>
  <c r="H8" i="8"/>
  <c r="C8" i="8"/>
  <c r="I7" i="8"/>
  <c r="H7" i="8"/>
  <c r="C7" i="8"/>
  <c r="I6" i="8"/>
  <c r="H6" i="8"/>
  <c r="C6" i="8"/>
  <c r="I65" i="7"/>
  <c r="H65" i="7"/>
  <c r="C65" i="7"/>
  <c r="I64" i="7"/>
  <c r="H64" i="7"/>
  <c r="C64" i="7"/>
  <c r="I63" i="7"/>
  <c r="H63" i="7"/>
  <c r="C63" i="7"/>
  <c r="I62" i="7"/>
  <c r="H62" i="7"/>
  <c r="C62" i="7"/>
  <c r="I61" i="7"/>
  <c r="H61" i="7"/>
  <c r="C61" i="7"/>
  <c r="I60" i="7"/>
  <c r="H60" i="7"/>
  <c r="C60" i="7"/>
  <c r="I59" i="7"/>
  <c r="H59" i="7"/>
  <c r="C59" i="7"/>
  <c r="I58" i="7"/>
  <c r="H58" i="7"/>
  <c r="C58" i="7"/>
  <c r="I57" i="7"/>
  <c r="H57" i="7"/>
  <c r="C57" i="7"/>
  <c r="I56" i="7"/>
  <c r="H56" i="7"/>
  <c r="C56" i="7"/>
  <c r="I55" i="7"/>
  <c r="H55" i="7"/>
  <c r="C55" i="7"/>
  <c r="I54" i="7"/>
  <c r="H54" i="7"/>
  <c r="C54" i="7"/>
  <c r="I53" i="7"/>
  <c r="H53" i="7"/>
  <c r="C53" i="7"/>
  <c r="I52" i="7"/>
  <c r="H52" i="7"/>
  <c r="C52" i="7"/>
  <c r="I51" i="7"/>
  <c r="H51" i="7"/>
  <c r="C51" i="7"/>
  <c r="I50" i="7"/>
  <c r="H50" i="7"/>
  <c r="C50" i="7"/>
  <c r="I49" i="7"/>
  <c r="H49" i="7"/>
  <c r="C49" i="7"/>
  <c r="I48" i="7"/>
  <c r="H48" i="7"/>
  <c r="C48" i="7"/>
  <c r="I47" i="7"/>
  <c r="H47" i="7"/>
  <c r="C47" i="7"/>
  <c r="I46" i="7"/>
  <c r="H46" i="7"/>
  <c r="C46" i="7"/>
  <c r="I45" i="7"/>
  <c r="H45" i="7"/>
  <c r="C45" i="7"/>
  <c r="I44" i="7"/>
  <c r="H44" i="7"/>
  <c r="C44" i="7"/>
  <c r="I43" i="7"/>
  <c r="H43" i="7"/>
  <c r="C43" i="7"/>
  <c r="I42" i="7"/>
  <c r="H42" i="7"/>
  <c r="C42" i="7"/>
  <c r="I41" i="7"/>
  <c r="H41" i="7"/>
  <c r="C41" i="7"/>
  <c r="I40" i="7"/>
  <c r="H40" i="7"/>
  <c r="C40" i="7"/>
  <c r="I39" i="7"/>
  <c r="H39" i="7"/>
  <c r="C39" i="7"/>
  <c r="I38" i="7"/>
  <c r="H38" i="7"/>
  <c r="C38" i="7"/>
  <c r="I37" i="7"/>
  <c r="H37" i="7"/>
  <c r="C37" i="7"/>
  <c r="I36" i="7"/>
  <c r="H36" i="7"/>
  <c r="C36" i="7"/>
  <c r="I35" i="7"/>
  <c r="H35" i="7"/>
  <c r="C35" i="7"/>
  <c r="I34" i="7"/>
  <c r="H34" i="7"/>
  <c r="C34" i="7"/>
  <c r="I33" i="7"/>
  <c r="H33" i="7"/>
  <c r="C33" i="7"/>
  <c r="I32" i="7"/>
  <c r="H32" i="7"/>
  <c r="C32" i="7"/>
  <c r="I31" i="7"/>
  <c r="H31" i="7"/>
  <c r="C31" i="7"/>
  <c r="I30" i="7"/>
  <c r="H30" i="7"/>
  <c r="C30" i="7"/>
  <c r="I29" i="7"/>
  <c r="H29" i="7"/>
  <c r="C29" i="7"/>
  <c r="I28" i="7"/>
  <c r="H28" i="7"/>
  <c r="C28" i="7"/>
  <c r="I27" i="7"/>
  <c r="H27" i="7"/>
  <c r="C27" i="7"/>
  <c r="I26" i="7"/>
  <c r="H26" i="7"/>
  <c r="C26" i="7"/>
  <c r="I25" i="7"/>
  <c r="H25" i="7"/>
  <c r="C25" i="7"/>
  <c r="I24" i="7"/>
  <c r="H24" i="7"/>
  <c r="C24" i="7"/>
  <c r="I23" i="7"/>
  <c r="H23" i="7"/>
  <c r="C23" i="7"/>
  <c r="I22" i="7"/>
  <c r="H22" i="7"/>
  <c r="C22" i="7"/>
  <c r="I21" i="7"/>
  <c r="H21" i="7"/>
  <c r="C21" i="7"/>
  <c r="I20" i="7"/>
  <c r="H20" i="7"/>
  <c r="C20" i="7"/>
  <c r="I19" i="7"/>
  <c r="H19" i="7"/>
  <c r="C19" i="7"/>
  <c r="I18" i="7"/>
  <c r="H18" i="7"/>
  <c r="C18" i="7"/>
  <c r="I17" i="7"/>
  <c r="H17" i="7"/>
  <c r="C17" i="7"/>
  <c r="I16" i="7"/>
  <c r="H16" i="7"/>
  <c r="C16" i="7"/>
  <c r="I15" i="7"/>
  <c r="H15" i="7"/>
  <c r="C15" i="7"/>
  <c r="I14" i="7"/>
  <c r="H14" i="7"/>
  <c r="C14" i="7"/>
  <c r="I13" i="7"/>
  <c r="H13" i="7"/>
  <c r="C13" i="7"/>
  <c r="I12" i="7"/>
  <c r="H12" i="7"/>
  <c r="C12" i="7"/>
  <c r="I11" i="7"/>
  <c r="H11" i="7"/>
  <c r="C11" i="7"/>
  <c r="I10" i="7"/>
  <c r="H10" i="7"/>
  <c r="C10" i="7"/>
  <c r="I9" i="7"/>
  <c r="H9" i="7"/>
  <c r="C9" i="7"/>
  <c r="I8" i="7"/>
  <c r="H8" i="7"/>
  <c r="C8" i="7"/>
  <c r="I7" i="7"/>
  <c r="H7" i="7"/>
  <c r="C7" i="7"/>
  <c r="I6" i="7"/>
  <c r="H6" i="7"/>
  <c r="C6" i="7"/>
  <c r="I65" i="6"/>
  <c r="H65" i="6"/>
  <c r="C65" i="6"/>
  <c r="I64" i="6"/>
  <c r="H64" i="6"/>
  <c r="C64" i="6"/>
  <c r="I63" i="6"/>
  <c r="H63" i="6"/>
  <c r="C63" i="6"/>
  <c r="I62" i="6"/>
  <c r="H62" i="6"/>
  <c r="C62" i="6"/>
  <c r="I61" i="6"/>
  <c r="H61" i="6"/>
  <c r="C61" i="6"/>
  <c r="I60" i="6"/>
  <c r="H60" i="6"/>
  <c r="C60" i="6"/>
  <c r="I59" i="6"/>
  <c r="H59" i="6"/>
  <c r="C59" i="6"/>
  <c r="I58" i="6"/>
  <c r="H58" i="6"/>
  <c r="C58" i="6"/>
  <c r="I57" i="6"/>
  <c r="H57" i="6"/>
  <c r="C57" i="6"/>
  <c r="I56" i="6"/>
  <c r="H56" i="6"/>
  <c r="C56" i="6"/>
  <c r="I55" i="6"/>
  <c r="H55" i="6"/>
  <c r="C55" i="6"/>
  <c r="I54" i="6"/>
  <c r="H54" i="6"/>
  <c r="C54" i="6"/>
  <c r="I53" i="6"/>
  <c r="H53" i="6"/>
  <c r="C53" i="6"/>
  <c r="I52" i="6"/>
  <c r="H52" i="6"/>
  <c r="C52" i="6"/>
  <c r="I51" i="6"/>
  <c r="H51" i="6"/>
  <c r="C51" i="6"/>
  <c r="I50" i="6"/>
  <c r="H50" i="6"/>
  <c r="C50" i="6"/>
  <c r="I49" i="6"/>
  <c r="H49" i="6"/>
  <c r="C49" i="6"/>
  <c r="I48" i="6"/>
  <c r="H48" i="6"/>
  <c r="C48" i="6"/>
  <c r="I47" i="6"/>
  <c r="H47" i="6"/>
  <c r="C47" i="6"/>
  <c r="I46" i="6"/>
  <c r="H46" i="6"/>
  <c r="C46" i="6"/>
  <c r="I45" i="6"/>
  <c r="H45" i="6"/>
  <c r="C45" i="6"/>
  <c r="I44" i="6"/>
  <c r="H44" i="6"/>
  <c r="C44" i="6"/>
  <c r="I43" i="6"/>
  <c r="H43" i="6"/>
  <c r="C43" i="6"/>
  <c r="I42" i="6"/>
  <c r="H42" i="6"/>
  <c r="C42" i="6"/>
  <c r="I41" i="6"/>
  <c r="H41" i="6"/>
  <c r="C41" i="6"/>
  <c r="I40" i="6"/>
  <c r="H40" i="6"/>
  <c r="C40" i="6"/>
  <c r="I39" i="6"/>
  <c r="H39" i="6"/>
  <c r="C39" i="6"/>
  <c r="I38" i="6"/>
  <c r="H38" i="6"/>
  <c r="C38" i="6"/>
  <c r="I37" i="6"/>
  <c r="H37" i="6"/>
  <c r="C37" i="6"/>
  <c r="I36" i="6"/>
  <c r="H36" i="6"/>
  <c r="C36" i="6"/>
  <c r="I35" i="6"/>
  <c r="H35" i="6"/>
  <c r="C35" i="6"/>
  <c r="I34" i="6"/>
  <c r="H34" i="6"/>
  <c r="C34" i="6"/>
  <c r="I33" i="6"/>
  <c r="H33" i="6"/>
  <c r="C33" i="6"/>
  <c r="I32" i="6"/>
  <c r="H32" i="6"/>
  <c r="C32" i="6"/>
  <c r="I31" i="6"/>
  <c r="H31" i="6"/>
  <c r="C31" i="6"/>
  <c r="I30" i="6"/>
  <c r="H30" i="6"/>
  <c r="C30" i="6"/>
  <c r="I29" i="6"/>
  <c r="H29" i="6"/>
  <c r="C29" i="6"/>
  <c r="I28" i="6"/>
  <c r="H28" i="6"/>
  <c r="C28" i="6"/>
  <c r="I27" i="6"/>
  <c r="H27" i="6"/>
  <c r="C27" i="6"/>
  <c r="I26" i="6"/>
  <c r="H26" i="6"/>
  <c r="C26" i="6"/>
  <c r="I25" i="6"/>
  <c r="H25" i="6"/>
  <c r="C25" i="6"/>
  <c r="I24" i="6"/>
  <c r="H24" i="6"/>
  <c r="C24" i="6"/>
  <c r="I23" i="6"/>
  <c r="H23" i="6"/>
  <c r="C23" i="6"/>
  <c r="I22" i="6"/>
  <c r="H22" i="6"/>
  <c r="C22" i="6"/>
  <c r="I21" i="6"/>
  <c r="H21" i="6"/>
  <c r="C21" i="6"/>
  <c r="I20" i="6"/>
  <c r="H20" i="6"/>
  <c r="C20" i="6"/>
  <c r="I19" i="6"/>
  <c r="H19" i="6"/>
  <c r="C19" i="6"/>
  <c r="I18" i="6"/>
  <c r="H18" i="6"/>
  <c r="C18" i="6"/>
  <c r="I17" i="6"/>
  <c r="H17" i="6"/>
  <c r="C17" i="6"/>
  <c r="I16" i="6"/>
  <c r="H16" i="6"/>
  <c r="C16" i="6"/>
  <c r="I15" i="6"/>
  <c r="H15" i="6"/>
  <c r="C15" i="6"/>
  <c r="I14" i="6"/>
  <c r="H14" i="6"/>
  <c r="C14" i="6"/>
  <c r="I13" i="6"/>
  <c r="H13" i="6"/>
  <c r="C13" i="6"/>
  <c r="I12" i="6"/>
  <c r="H12" i="6"/>
  <c r="C12" i="6"/>
  <c r="I11" i="6"/>
  <c r="H11" i="6"/>
  <c r="C11" i="6"/>
  <c r="I10" i="6"/>
  <c r="H10" i="6"/>
  <c r="C10" i="6"/>
  <c r="I9" i="6"/>
  <c r="H9" i="6"/>
  <c r="C9" i="6"/>
  <c r="I8" i="6"/>
  <c r="H8" i="6"/>
  <c r="C8" i="6"/>
  <c r="I7" i="6"/>
  <c r="H7" i="6"/>
  <c r="C7" i="6"/>
  <c r="I6" i="6"/>
  <c r="H6" i="6"/>
  <c r="C6" i="6"/>
  <c r="I65" i="5"/>
  <c r="H65" i="5"/>
  <c r="C65" i="5"/>
  <c r="I64" i="5"/>
  <c r="H64" i="5"/>
  <c r="C64" i="5"/>
  <c r="I63" i="5"/>
  <c r="H63" i="5"/>
  <c r="C63" i="5"/>
  <c r="I62" i="5"/>
  <c r="H62" i="5"/>
  <c r="C62" i="5"/>
  <c r="I61" i="5"/>
  <c r="H61" i="5"/>
  <c r="C61" i="5"/>
  <c r="I60" i="5"/>
  <c r="H60" i="5"/>
  <c r="C60" i="5"/>
  <c r="I59" i="5"/>
  <c r="H59" i="5"/>
  <c r="C59" i="5"/>
  <c r="I58" i="5"/>
  <c r="H58" i="5"/>
  <c r="C58" i="5"/>
  <c r="I57" i="5"/>
  <c r="H57" i="5"/>
  <c r="C57" i="5"/>
  <c r="I56" i="5"/>
  <c r="H56" i="5"/>
  <c r="C56" i="5"/>
  <c r="I55" i="5"/>
  <c r="H55" i="5"/>
  <c r="C55" i="5"/>
  <c r="I54" i="5"/>
  <c r="H54" i="5"/>
  <c r="C54" i="5"/>
  <c r="I53" i="5"/>
  <c r="H53" i="5"/>
  <c r="C53" i="5"/>
  <c r="I52" i="5"/>
  <c r="H52" i="5"/>
  <c r="C52" i="5"/>
  <c r="I51" i="5"/>
  <c r="H51" i="5"/>
  <c r="C51" i="5"/>
  <c r="I50" i="5"/>
  <c r="H50" i="5"/>
  <c r="C50" i="5"/>
  <c r="I49" i="5"/>
  <c r="H49" i="5"/>
  <c r="C49" i="5"/>
  <c r="I48" i="5"/>
  <c r="H48" i="5"/>
  <c r="C48" i="5"/>
  <c r="I47" i="5"/>
  <c r="H47" i="5"/>
  <c r="C47" i="5"/>
  <c r="I46" i="5"/>
  <c r="H46" i="5"/>
  <c r="C46" i="5"/>
  <c r="I45" i="5"/>
  <c r="H45" i="5"/>
  <c r="C45" i="5"/>
  <c r="I44" i="5"/>
  <c r="H44" i="5"/>
  <c r="C44" i="5"/>
  <c r="I43" i="5"/>
  <c r="H43" i="5"/>
  <c r="C43" i="5"/>
  <c r="I42" i="5"/>
  <c r="H42" i="5"/>
  <c r="C42" i="5"/>
  <c r="I41" i="5"/>
  <c r="H41" i="5"/>
  <c r="C41" i="5"/>
  <c r="I40" i="5"/>
  <c r="H40" i="5"/>
  <c r="C40" i="5"/>
  <c r="I39" i="5"/>
  <c r="H39" i="5"/>
  <c r="C39" i="5"/>
  <c r="I38" i="5"/>
  <c r="H38" i="5"/>
  <c r="C38" i="5"/>
  <c r="I37" i="5"/>
  <c r="H37" i="5"/>
  <c r="C37" i="5"/>
  <c r="I36" i="5"/>
  <c r="H36" i="5"/>
  <c r="C36" i="5"/>
  <c r="I35" i="5"/>
  <c r="H35" i="5"/>
  <c r="C35" i="5"/>
  <c r="I34" i="5"/>
  <c r="H34" i="5"/>
  <c r="C34" i="5"/>
  <c r="I33" i="5"/>
  <c r="H33" i="5"/>
  <c r="C33" i="5"/>
  <c r="I32" i="5"/>
  <c r="H32" i="5"/>
  <c r="C32" i="5"/>
  <c r="I31" i="5"/>
  <c r="H31" i="5"/>
  <c r="C31" i="5"/>
  <c r="I30" i="5"/>
  <c r="H30" i="5"/>
  <c r="C30" i="5"/>
  <c r="I29" i="5"/>
  <c r="H29" i="5"/>
  <c r="C29" i="5"/>
  <c r="I28" i="5"/>
  <c r="H28" i="5"/>
  <c r="C28" i="5"/>
  <c r="I27" i="5"/>
  <c r="H27" i="5"/>
  <c r="C27" i="5"/>
  <c r="I26" i="5"/>
  <c r="H26" i="5"/>
  <c r="C26" i="5"/>
  <c r="I25" i="5"/>
  <c r="H25" i="5"/>
  <c r="C25" i="5"/>
  <c r="I24" i="5"/>
  <c r="H24" i="5"/>
  <c r="C24" i="5"/>
  <c r="I23" i="5"/>
  <c r="H23" i="5"/>
  <c r="C23" i="5"/>
  <c r="I22" i="5"/>
  <c r="H22" i="5"/>
  <c r="C22" i="5"/>
  <c r="I21" i="5"/>
  <c r="H21" i="5"/>
  <c r="C21" i="5"/>
  <c r="I20" i="5"/>
  <c r="H20" i="5"/>
  <c r="C20" i="5"/>
  <c r="I19" i="5"/>
  <c r="H19" i="5"/>
  <c r="C19" i="5"/>
  <c r="I18" i="5"/>
  <c r="H18" i="5"/>
  <c r="C18" i="5"/>
  <c r="I17" i="5"/>
  <c r="H17" i="5"/>
  <c r="C17" i="5"/>
  <c r="I16" i="5"/>
  <c r="H16" i="5"/>
  <c r="C16" i="5"/>
  <c r="I15" i="5"/>
  <c r="H15" i="5"/>
  <c r="C15" i="5"/>
  <c r="I14" i="5"/>
  <c r="H14" i="5"/>
  <c r="C14" i="5"/>
  <c r="I13" i="5"/>
  <c r="H13" i="5"/>
  <c r="C13" i="5"/>
  <c r="I12" i="5"/>
  <c r="H12" i="5"/>
  <c r="C12" i="5"/>
  <c r="I11" i="5"/>
  <c r="H11" i="5"/>
  <c r="C11" i="5"/>
  <c r="I10" i="5"/>
  <c r="H10" i="5"/>
  <c r="C10" i="5"/>
  <c r="I9" i="5"/>
  <c r="H9" i="5"/>
  <c r="C9" i="5"/>
  <c r="I8" i="5"/>
  <c r="H8" i="5"/>
  <c r="C8" i="5"/>
  <c r="I7" i="5"/>
  <c r="H7" i="5"/>
  <c r="C7" i="5"/>
  <c r="I6" i="5"/>
  <c r="H6" i="5"/>
  <c r="C6" i="5"/>
  <c r="I65" i="4"/>
  <c r="H65" i="4"/>
  <c r="C65" i="4"/>
  <c r="I64" i="4"/>
  <c r="H64" i="4"/>
  <c r="C64" i="4"/>
  <c r="I63" i="4"/>
  <c r="H63" i="4"/>
  <c r="C63" i="4"/>
  <c r="I62" i="4"/>
  <c r="H62" i="4"/>
  <c r="C62" i="4"/>
  <c r="I61" i="4"/>
  <c r="H61" i="4"/>
  <c r="C61" i="4"/>
  <c r="I60" i="4"/>
  <c r="H60" i="4"/>
  <c r="C60" i="4"/>
  <c r="I59" i="4"/>
  <c r="H59" i="4"/>
  <c r="C59" i="4"/>
  <c r="I58" i="4"/>
  <c r="H58" i="4"/>
  <c r="C58" i="4"/>
  <c r="I57" i="4"/>
  <c r="H57" i="4"/>
  <c r="C57" i="4"/>
  <c r="I56" i="4"/>
  <c r="H56" i="4"/>
  <c r="C56" i="4"/>
  <c r="I55" i="4"/>
  <c r="H55" i="4"/>
  <c r="C55" i="4"/>
  <c r="I54" i="4"/>
  <c r="H54" i="4"/>
  <c r="C54" i="4"/>
  <c r="I53" i="4"/>
  <c r="H53" i="4"/>
  <c r="C53" i="4"/>
  <c r="I52" i="4"/>
  <c r="H52" i="4"/>
  <c r="C52" i="4"/>
  <c r="I51" i="4"/>
  <c r="H51" i="4"/>
  <c r="C51" i="4"/>
  <c r="I50" i="4"/>
  <c r="H50" i="4"/>
  <c r="C50" i="4"/>
  <c r="I49" i="4"/>
  <c r="H49" i="4"/>
  <c r="C49" i="4"/>
  <c r="I48" i="4"/>
  <c r="H48" i="4"/>
  <c r="C48" i="4"/>
  <c r="I47" i="4"/>
  <c r="H47" i="4"/>
  <c r="C47" i="4"/>
  <c r="I46" i="4"/>
  <c r="H46" i="4"/>
  <c r="C46" i="4"/>
  <c r="I45" i="4"/>
  <c r="H45" i="4"/>
  <c r="C45" i="4"/>
  <c r="I44" i="4"/>
  <c r="H44" i="4"/>
  <c r="C44" i="4"/>
  <c r="I43" i="4"/>
  <c r="H43" i="4"/>
  <c r="C43" i="4"/>
  <c r="I42" i="4"/>
  <c r="H42" i="4"/>
  <c r="C42" i="4"/>
  <c r="I41" i="4"/>
  <c r="H41" i="4"/>
  <c r="C41" i="4"/>
  <c r="I40" i="4"/>
  <c r="H40" i="4"/>
  <c r="C40" i="4"/>
  <c r="I39" i="4"/>
  <c r="H39" i="4"/>
  <c r="C39" i="4"/>
  <c r="I38" i="4"/>
  <c r="H38" i="4"/>
  <c r="C38" i="4"/>
  <c r="I37" i="4"/>
  <c r="H37" i="4"/>
  <c r="C37" i="4"/>
  <c r="I36" i="4"/>
  <c r="H36" i="4"/>
  <c r="C36" i="4"/>
  <c r="I35" i="4"/>
  <c r="H35" i="4"/>
  <c r="C35" i="4"/>
  <c r="I34" i="4"/>
  <c r="H34" i="4"/>
  <c r="C34" i="4"/>
  <c r="I33" i="4"/>
  <c r="H33" i="4"/>
  <c r="C33" i="4"/>
  <c r="I32" i="4"/>
  <c r="H32" i="4"/>
  <c r="C32" i="4"/>
  <c r="I31" i="4"/>
  <c r="H31" i="4"/>
  <c r="C31" i="4"/>
  <c r="I30" i="4"/>
  <c r="H30" i="4"/>
  <c r="C30" i="4"/>
  <c r="I29" i="4"/>
  <c r="H29" i="4"/>
  <c r="C29" i="4"/>
  <c r="I28" i="4"/>
  <c r="H28" i="4"/>
  <c r="C28" i="4"/>
  <c r="I27" i="4"/>
  <c r="H27" i="4"/>
  <c r="C27" i="4"/>
  <c r="I26" i="4"/>
  <c r="H26" i="4"/>
  <c r="C26" i="4"/>
  <c r="I25" i="4"/>
  <c r="H25" i="4"/>
  <c r="C25" i="4"/>
  <c r="I24" i="4"/>
  <c r="H24" i="4"/>
  <c r="C24" i="4"/>
  <c r="I23" i="4"/>
  <c r="H23" i="4"/>
  <c r="C23" i="4"/>
  <c r="I22" i="4"/>
  <c r="H22" i="4"/>
  <c r="C22" i="4"/>
  <c r="I21" i="4"/>
  <c r="H21" i="4"/>
  <c r="C21" i="4"/>
  <c r="I20" i="4"/>
  <c r="H20" i="4"/>
  <c r="C20" i="4"/>
  <c r="I19" i="4"/>
  <c r="H19" i="4"/>
  <c r="C19" i="4"/>
  <c r="I18" i="4"/>
  <c r="H18" i="4"/>
  <c r="C18" i="4"/>
  <c r="I17" i="4"/>
  <c r="H17" i="4"/>
  <c r="C17" i="4"/>
  <c r="I16" i="4"/>
  <c r="H16" i="4"/>
  <c r="C16" i="4"/>
  <c r="I15" i="4"/>
  <c r="H15" i="4"/>
  <c r="C15" i="4"/>
  <c r="I14" i="4"/>
  <c r="H14" i="4"/>
  <c r="C14" i="4"/>
  <c r="I13" i="4"/>
  <c r="H13" i="4"/>
  <c r="C13" i="4"/>
  <c r="I12" i="4"/>
  <c r="H12" i="4"/>
  <c r="C12" i="4"/>
  <c r="I11" i="4"/>
  <c r="H11" i="4"/>
  <c r="C11" i="4"/>
  <c r="I10" i="4"/>
  <c r="H10" i="4"/>
  <c r="C10" i="4"/>
  <c r="I9" i="4"/>
  <c r="H9" i="4"/>
  <c r="C9" i="4"/>
  <c r="I8" i="4"/>
  <c r="H8" i="4"/>
  <c r="C8" i="4"/>
  <c r="I7" i="4"/>
  <c r="H7" i="4"/>
  <c r="C7" i="4"/>
  <c r="I6" i="4"/>
  <c r="H6" i="4"/>
  <c r="C6" i="4"/>
  <c r="I65" i="3"/>
  <c r="H65" i="3"/>
  <c r="C65" i="3"/>
  <c r="I64" i="3"/>
  <c r="H64" i="3"/>
  <c r="C64" i="3"/>
  <c r="I63" i="3"/>
  <c r="H63" i="3"/>
  <c r="C63" i="3"/>
  <c r="I62" i="3"/>
  <c r="H62" i="3"/>
  <c r="C62" i="3"/>
  <c r="I61" i="3"/>
  <c r="H61" i="3"/>
  <c r="C61" i="3"/>
  <c r="I60" i="3"/>
  <c r="H60" i="3"/>
  <c r="C60" i="3"/>
  <c r="I59" i="3"/>
  <c r="H59" i="3"/>
  <c r="C59" i="3"/>
  <c r="I58" i="3"/>
  <c r="H58" i="3"/>
  <c r="C58" i="3"/>
  <c r="I57" i="3"/>
  <c r="H57" i="3"/>
  <c r="C57" i="3"/>
  <c r="I56" i="3"/>
  <c r="H56" i="3"/>
  <c r="C56" i="3"/>
  <c r="I55" i="3"/>
  <c r="H55" i="3"/>
  <c r="C55" i="3"/>
  <c r="I54" i="3"/>
  <c r="H54" i="3"/>
  <c r="C54" i="3"/>
  <c r="I53" i="3"/>
  <c r="H53" i="3"/>
  <c r="C53" i="3"/>
  <c r="I52" i="3"/>
  <c r="H52" i="3"/>
  <c r="C52" i="3"/>
  <c r="I51" i="3"/>
  <c r="H51" i="3"/>
  <c r="C51" i="3"/>
  <c r="I50" i="3"/>
  <c r="H50" i="3"/>
  <c r="C50" i="3"/>
  <c r="I49" i="3"/>
  <c r="H49" i="3"/>
  <c r="C49" i="3"/>
  <c r="I48" i="3"/>
  <c r="H48" i="3"/>
  <c r="C48" i="3"/>
  <c r="I47" i="3"/>
  <c r="H47" i="3"/>
  <c r="C47" i="3"/>
  <c r="I46" i="3"/>
  <c r="H46" i="3"/>
  <c r="C46" i="3"/>
  <c r="I45" i="3"/>
  <c r="H45" i="3"/>
  <c r="C45" i="3"/>
  <c r="I44" i="3"/>
  <c r="H44" i="3"/>
  <c r="C44" i="3"/>
  <c r="I43" i="3"/>
  <c r="H43" i="3"/>
  <c r="C43" i="3"/>
  <c r="I42" i="3"/>
  <c r="H42" i="3"/>
  <c r="C42" i="3"/>
  <c r="I41" i="3"/>
  <c r="H41" i="3"/>
  <c r="C41" i="3"/>
  <c r="I40" i="3"/>
  <c r="H40" i="3"/>
  <c r="C40" i="3"/>
  <c r="I39" i="3"/>
  <c r="H39" i="3"/>
  <c r="C39" i="3"/>
  <c r="I38" i="3"/>
  <c r="H38" i="3"/>
  <c r="C38" i="3"/>
  <c r="I37" i="3"/>
  <c r="H37" i="3"/>
  <c r="C37" i="3"/>
  <c r="I36" i="3"/>
  <c r="H36" i="3"/>
  <c r="C36" i="3"/>
  <c r="I35" i="3"/>
  <c r="H35" i="3"/>
  <c r="C35" i="3"/>
  <c r="I34" i="3"/>
  <c r="H34" i="3"/>
  <c r="C34" i="3"/>
  <c r="I33" i="3"/>
  <c r="H33" i="3"/>
  <c r="C33" i="3"/>
  <c r="I32" i="3"/>
  <c r="H32" i="3"/>
  <c r="C32" i="3"/>
  <c r="I31" i="3"/>
  <c r="H31" i="3"/>
  <c r="C31" i="3"/>
  <c r="I30" i="3"/>
  <c r="H30" i="3"/>
  <c r="C30" i="3"/>
  <c r="I29" i="3"/>
  <c r="H29" i="3"/>
  <c r="C29" i="3"/>
  <c r="I28" i="3"/>
  <c r="H28" i="3"/>
  <c r="C28" i="3"/>
  <c r="I27" i="3"/>
  <c r="H27" i="3"/>
  <c r="C27" i="3"/>
  <c r="I26" i="3"/>
  <c r="H26" i="3"/>
  <c r="C26" i="3"/>
  <c r="I25" i="3"/>
  <c r="H25" i="3"/>
  <c r="C25" i="3"/>
  <c r="I24" i="3"/>
  <c r="H24" i="3"/>
  <c r="C24" i="3"/>
  <c r="I23" i="3"/>
  <c r="H23" i="3"/>
  <c r="C23" i="3"/>
  <c r="I22" i="3"/>
  <c r="H22" i="3"/>
  <c r="C22" i="3"/>
  <c r="I21" i="3"/>
  <c r="H21" i="3"/>
  <c r="C21" i="3"/>
  <c r="I20" i="3"/>
  <c r="H20" i="3"/>
  <c r="C20" i="3"/>
  <c r="I19" i="3"/>
  <c r="H19" i="3"/>
  <c r="C19" i="3"/>
  <c r="I18" i="3"/>
  <c r="H18" i="3"/>
  <c r="C18" i="3"/>
  <c r="I17" i="3"/>
  <c r="H17" i="3"/>
  <c r="C17" i="3"/>
  <c r="I16" i="3"/>
  <c r="H16" i="3"/>
  <c r="C16" i="3"/>
  <c r="I15" i="3"/>
  <c r="H15" i="3"/>
  <c r="C15" i="3"/>
  <c r="I14" i="3"/>
  <c r="H14" i="3"/>
  <c r="C14" i="3"/>
  <c r="I13" i="3"/>
  <c r="H13" i="3"/>
  <c r="C13" i="3"/>
  <c r="I12" i="3"/>
  <c r="H12" i="3"/>
  <c r="C12" i="3"/>
  <c r="I11" i="3"/>
  <c r="H11" i="3"/>
  <c r="C11" i="3"/>
  <c r="I10" i="3"/>
  <c r="H10" i="3"/>
  <c r="C10" i="3"/>
  <c r="I9" i="3"/>
  <c r="H9" i="3"/>
  <c r="C9" i="3"/>
  <c r="I8" i="3"/>
  <c r="H8" i="3"/>
  <c r="C8" i="3"/>
  <c r="I7" i="3"/>
  <c r="H7" i="3"/>
  <c r="C7" i="3"/>
  <c r="I6" i="3"/>
  <c r="H6" i="3"/>
  <c r="C6" i="3"/>
  <c r="G14" i="16"/>
  <c r="B2" i="16" l="1"/>
  <c r="B2" i="15"/>
  <c r="C41" i="16"/>
  <c r="C23" i="16"/>
  <c r="D41" i="16"/>
  <c r="C24" i="16"/>
  <c r="E41" i="16"/>
  <c r="C25" i="16"/>
  <c r="F41" i="16"/>
  <c r="C26" i="16"/>
  <c r="G41" i="16"/>
  <c r="C27" i="16"/>
  <c r="H41" i="16"/>
  <c r="C28" i="16"/>
  <c r="I41" i="16"/>
  <c r="C29" i="16"/>
  <c r="J41" i="16"/>
  <c r="C30" i="16"/>
  <c r="K41" i="16"/>
  <c r="C31" i="16"/>
  <c r="L41" i="16"/>
  <c r="C32" i="16"/>
  <c r="M41" i="16"/>
  <c r="C33" i="16"/>
  <c r="N41" i="16"/>
  <c r="C34" i="16"/>
  <c r="H11" i="15"/>
  <c r="H6" i="15"/>
  <c r="H7" i="15"/>
  <c r="H9" i="15"/>
  <c r="D6" i="16"/>
  <c r="C17" i="16"/>
  <c r="C18" i="16"/>
  <c r="B6" i="16"/>
  <c r="D10" i="16"/>
  <c r="B10" i="16"/>
  <c r="H10" i="15"/>
  <c r="H8" i="15"/>
  <c r="F6" i="16"/>
  <c r="C14" i="16"/>
  <c r="C15" i="16"/>
  <c r="C16" i="16"/>
  <c r="G18" i="16"/>
  <c r="G17" i="16"/>
  <c r="G15" i="16"/>
  <c r="G16" i="16"/>
  <c r="F18" i="16" l="1"/>
  <c r="J43" i="16"/>
  <c r="J44" i="16"/>
  <c r="B16" i="16"/>
  <c r="F16" i="16"/>
  <c r="B15" i="16"/>
  <c r="F15" i="16"/>
  <c r="B18" i="16"/>
  <c r="I58" i="15"/>
  <c r="I50" i="15"/>
  <c r="I42" i="15"/>
  <c r="I34" i="15"/>
  <c r="I26" i="15"/>
  <c r="I18" i="15"/>
  <c r="I59" i="15"/>
  <c r="I51" i="15"/>
  <c r="I43" i="15"/>
  <c r="I35" i="15"/>
  <c r="I27" i="15"/>
  <c r="I15" i="15"/>
  <c r="I11" i="15"/>
  <c r="I7" i="15"/>
  <c r="I19" i="15"/>
  <c r="I29" i="15"/>
  <c r="I23" i="15"/>
  <c r="I64" i="15"/>
  <c r="I56" i="15"/>
  <c r="I48" i="15"/>
  <c r="I40" i="15"/>
  <c r="I32" i="15"/>
  <c r="I24" i="15"/>
  <c r="I65" i="15"/>
  <c r="I57" i="15"/>
  <c r="I49" i="15"/>
  <c r="I41" i="15"/>
  <c r="I33" i="15"/>
  <c r="I25" i="15"/>
  <c r="I14" i="15"/>
  <c r="I10" i="15"/>
  <c r="I9" i="15"/>
  <c r="I62" i="15"/>
  <c r="I54" i="15"/>
  <c r="I46" i="15"/>
  <c r="I38" i="15"/>
  <c r="I30" i="15"/>
  <c r="I22" i="15"/>
  <c r="I63" i="15"/>
  <c r="I55" i="15"/>
  <c r="I47" i="15"/>
  <c r="I39" i="15"/>
  <c r="I31" i="15"/>
  <c r="I17" i="15"/>
  <c r="I13" i="15"/>
  <c r="I6" i="15"/>
  <c r="I21" i="15"/>
  <c r="I60" i="15"/>
  <c r="I52" i="15"/>
  <c r="I44" i="15"/>
  <c r="I36" i="15"/>
  <c r="I28" i="15"/>
  <c r="I20" i="15"/>
  <c r="I61" i="15"/>
  <c r="I53" i="15"/>
  <c r="I45" i="15"/>
  <c r="I37" i="15"/>
  <c r="I16" i="15"/>
  <c r="I12" i="15"/>
  <c r="I8" i="15"/>
  <c r="F17" i="16"/>
  <c r="B17" i="16"/>
  <c r="F14" i="16"/>
  <c r="B14" i="16"/>
  <c r="D61" i="15" l="1"/>
  <c r="C61" i="15"/>
  <c r="E61" i="15" s="1"/>
  <c r="B61" i="15"/>
  <c r="D39" i="15"/>
  <c r="C39" i="15"/>
  <c r="E39" i="15" s="1"/>
  <c r="B39" i="15"/>
  <c r="B14" i="15"/>
  <c r="D14" i="15"/>
  <c r="C14" i="15"/>
  <c r="E14" i="15" s="1"/>
  <c r="C64" i="15"/>
  <c r="E64" i="15" s="1"/>
  <c r="B64" i="15"/>
  <c r="D64" i="15"/>
  <c r="C18" i="15"/>
  <c r="E18" i="15" s="1"/>
  <c r="B18" i="15"/>
  <c r="D18" i="15"/>
  <c r="C50" i="15"/>
  <c r="E50" i="15" s="1"/>
  <c r="B50" i="15"/>
  <c r="D50" i="15"/>
  <c r="D37" i="15"/>
  <c r="C37" i="15"/>
  <c r="E37" i="15" s="1"/>
  <c r="B37" i="15"/>
  <c r="C20" i="15"/>
  <c r="E20" i="15" s="1"/>
  <c r="B20" i="15"/>
  <c r="D20" i="15"/>
  <c r="C52" i="15"/>
  <c r="E52" i="15" s="1"/>
  <c r="B52" i="15"/>
  <c r="D52" i="15"/>
  <c r="D13" i="15"/>
  <c r="B13" i="15"/>
  <c r="C13" i="15"/>
  <c r="E13" i="15" s="1"/>
  <c r="D47" i="15"/>
  <c r="C47" i="15"/>
  <c r="E47" i="15" s="1"/>
  <c r="B47" i="15"/>
  <c r="C30" i="15"/>
  <c r="E30" i="15" s="1"/>
  <c r="B30" i="15"/>
  <c r="D30" i="15"/>
  <c r="C62" i="15"/>
  <c r="E62" i="15" s="1"/>
  <c r="B62" i="15"/>
  <c r="D62" i="15"/>
  <c r="D25" i="15"/>
  <c r="B25" i="15"/>
  <c r="C25" i="15"/>
  <c r="E25" i="15" s="1"/>
  <c r="D57" i="15"/>
  <c r="C57" i="15"/>
  <c r="E57" i="15" s="1"/>
  <c r="B57" i="15"/>
  <c r="C40" i="15"/>
  <c r="E40" i="15" s="1"/>
  <c r="B40" i="15"/>
  <c r="D40" i="15"/>
  <c r="D23" i="15"/>
  <c r="B23" i="15"/>
  <c r="C23" i="15"/>
  <c r="E23" i="15" s="1"/>
  <c r="D11" i="15"/>
  <c r="B11" i="15"/>
  <c r="C11" i="15"/>
  <c r="D43" i="15"/>
  <c r="C43" i="15"/>
  <c r="E43" i="15" s="1"/>
  <c r="B43" i="15"/>
  <c r="C26" i="15"/>
  <c r="E26" i="15" s="1"/>
  <c r="B26" i="15"/>
  <c r="D26" i="15"/>
  <c r="C58" i="15"/>
  <c r="E58" i="15" s="1"/>
  <c r="B58" i="15"/>
  <c r="D58" i="15"/>
  <c r="C44" i="15"/>
  <c r="E44" i="15" s="1"/>
  <c r="B44" i="15"/>
  <c r="D44" i="15"/>
  <c r="C22" i="15"/>
  <c r="E22" i="15" s="1"/>
  <c r="B22" i="15"/>
  <c r="D22" i="15"/>
  <c r="D49" i="15"/>
  <c r="C49" i="15"/>
  <c r="E49" i="15" s="1"/>
  <c r="B49" i="15"/>
  <c r="D7" i="15"/>
  <c r="B7" i="15"/>
  <c r="C7" i="15"/>
  <c r="B8" i="15"/>
  <c r="D8" i="15"/>
  <c r="C8" i="15"/>
  <c r="C28" i="15"/>
  <c r="E28" i="15" s="1"/>
  <c r="B28" i="15"/>
  <c r="D28" i="15"/>
  <c r="C60" i="15"/>
  <c r="E60" i="15" s="1"/>
  <c r="B60" i="15"/>
  <c r="D60" i="15"/>
  <c r="D17" i="15"/>
  <c r="B17" i="15"/>
  <c r="C17" i="15"/>
  <c r="E17" i="15" s="1"/>
  <c r="D55" i="15"/>
  <c r="C55" i="15"/>
  <c r="E55" i="15" s="1"/>
  <c r="B55" i="15"/>
  <c r="C38" i="15"/>
  <c r="E38" i="15" s="1"/>
  <c r="B38" i="15"/>
  <c r="D38" i="15"/>
  <c r="D9" i="15"/>
  <c r="B9" i="15"/>
  <c r="C9" i="15"/>
  <c r="D33" i="15"/>
  <c r="C33" i="15"/>
  <c r="E33" i="15" s="1"/>
  <c r="B33" i="15"/>
  <c r="D65" i="15"/>
  <c r="C65" i="15"/>
  <c r="E65" i="15" s="1"/>
  <c r="B65" i="15"/>
  <c r="C48" i="15"/>
  <c r="E48" i="15" s="1"/>
  <c r="B48" i="15"/>
  <c r="D48" i="15"/>
  <c r="D29" i="15"/>
  <c r="C29" i="15"/>
  <c r="E29" i="15" s="1"/>
  <c r="B29" i="15"/>
  <c r="D15" i="15"/>
  <c r="B15" i="15"/>
  <c r="C15" i="15"/>
  <c r="E15" i="15" s="1"/>
  <c r="D51" i="15"/>
  <c r="C51" i="15"/>
  <c r="E51" i="15" s="1"/>
  <c r="B51" i="15"/>
  <c r="C34" i="15"/>
  <c r="E34" i="15" s="1"/>
  <c r="B34" i="15"/>
  <c r="D34" i="15"/>
  <c r="B16" i="15"/>
  <c r="D16" i="15"/>
  <c r="C16" i="15"/>
  <c r="E16" i="15" s="1"/>
  <c r="D6" i="15"/>
  <c r="C6" i="15"/>
  <c r="B6" i="15"/>
  <c r="C54" i="15"/>
  <c r="E54" i="15" s="1"/>
  <c r="B54" i="15"/>
  <c r="D54" i="15"/>
  <c r="C32" i="15"/>
  <c r="E32" i="15" s="1"/>
  <c r="B32" i="15"/>
  <c r="D32" i="15"/>
  <c r="D35" i="15"/>
  <c r="C35" i="15"/>
  <c r="E35" i="15" s="1"/>
  <c r="B35" i="15"/>
  <c r="D45" i="15"/>
  <c r="C45" i="15"/>
  <c r="E45" i="15" s="1"/>
  <c r="B45" i="15"/>
  <c r="B12" i="15"/>
  <c r="D12" i="15"/>
  <c r="C12" i="15"/>
  <c r="E12" i="15" s="1"/>
  <c r="D53" i="15"/>
  <c r="C53" i="15"/>
  <c r="E53" i="15" s="1"/>
  <c r="B53" i="15"/>
  <c r="C36" i="15"/>
  <c r="E36" i="15" s="1"/>
  <c r="B36" i="15"/>
  <c r="D36" i="15"/>
  <c r="D21" i="15"/>
  <c r="B21" i="15"/>
  <c r="C21" i="15"/>
  <c r="E21" i="15" s="1"/>
  <c r="D31" i="15"/>
  <c r="C31" i="15"/>
  <c r="E31" i="15" s="1"/>
  <c r="B31" i="15"/>
  <c r="D63" i="15"/>
  <c r="C63" i="15"/>
  <c r="E63" i="15" s="1"/>
  <c r="B63" i="15"/>
  <c r="C46" i="15"/>
  <c r="E46" i="15" s="1"/>
  <c r="B46" i="15"/>
  <c r="D46" i="15"/>
  <c r="B10" i="15"/>
  <c r="D10" i="15"/>
  <c r="C10" i="15"/>
  <c r="D41" i="15"/>
  <c r="C41" i="15"/>
  <c r="E41" i="15" s="1"/>
  <c r="B41" i="15"/>
  <c r="C24" i="15"/>
  <c r="E24" i="15" s="1"/>
  <c r="B24" i="15"/>
  <c r="D24" i="15"/>
  <c r="C56" i="15"/>
  <c r="E56" i="15" s="1"/>
  <c r="B56" i="15"/>
  <c r="D56" i="15"/>
  <c r="D19" i="15"/>
  <c r="B19" i="15"/>
  <c r="C19" i="15"/>
  <c r="E19" i="15" s="1"/>
  <c r="D27" i="15"/>
  <c r="C27" i="15"/>
  <c r="E27" i="15" s="1"/>
  <c r="B27" i="15"/>
  <c r="D59" i="15"/>
  <c r="C59" i="15"/>
  <c r="E59" i="15" s="1"/>
  <c r="B59" i="15"/>
  <c r="C42" i="15"/>
  <c r="E42" i="15" s="1"/>
  <c r="B42" i="15"/>
  <c r="D42" i="15"/>
  <c r="E9" i="15"/>
  <c r="E7" i="15"/>
  <c r="E10" i="15"/>
  <c r="E11" i="15"/>
  <c r="E6" i="15"/>
  <c r="E8" i="15"/>
</calcChain>
</file>

<file path=xl/sharedStrings.xml><?xml version="1.0" encoding="utf-8"?>
<sst xmlns="http://schemas.openxmlformats.org/spreadsheetml/2006/main" count="248" uniqueCount="128">
  <si>
    <t>🛒  LISTA DE COMPRAS + CONTROLE DE PREÇOS</t>
  </si>
  <si>
    <t>Cadastre uma vez, acompanhe o preço mês a mês, e leve uma lista pronta pro mercado</t>
  </si>
  <si>
    <t>📋  Cadastro único</t>
  </si>
  <si>
    <t>🏷️  12 meses de compra real</t>
  </si>
  <si>
    <t>🖨️  Lista sempre atualizada</t>
  </si>
  <si>
    <t>A meta: liste seus produtos, categoria e quanto usa por mês</t>
  </si>
  <si>
    <t>Uma aba por mês — você lança o que realmente comprou</t>
  </si>
  <si>
    <t>Mostra só o que falta comprar no mês, pronta pra imprimir</t>
  </si>
  <si>
    <t>🚀  COMO USAR</t>
  </si>
  <si>
    <t>1</t>
  </si>
  <si>
    <t>Cadastre a meta e os mercados</t>
  </si>
  <si>
    <t>Aba "Cadastro de Produtos": liste os produtos (com categoria e quantidade mensal) e, na lista separada ao lado, os mercados onde você costuma comprar. Faça isso só uma vez.</t>
  </si>
  <si>
    <t>2</t>
  </si>
  <si>
    <t>Lance o que realmente comprou</t>
  </si>
  <si>
    <t>Abra a aba do mês atual (ex: "Agosto"). Escolha o Produto e o Mercado nos menus suspensos (a Categoria vem sozinha) e digite a Quantidade que você REALMENTE comprou. Pode lançar em mais de uma linha, se comprou em lojas diferentes — mas isso sozinho ainda NÃO atualiza a lista.</t>
  </si>
  <si>
    <t>3</t>
  </si>
  <si>
    <t>Marque "✅ Sim" pra confirmar</t>
  </si>
  <si>
    <t>É o "Sim" na coluna Comprado que confirma a compra pra valer. Só depois de marcar, a "Lista de Produtos" desconta essa quantidade da meta — e se atingiu o necessário, o produto some da lista sozinho, sem deixar buraco.</t>
  </si>
  <si>
    <t>4</t>
  </si>
  <si>
    <t>Imprima e leve ao mercado</t>
  </si>
  <si>
    <t>A Lista de Produtos já sai formatada pra imprimir em A4. O campo "Valor" fica em branco de propósito, pra anotar o preço que encontrar na hora. O "Último Valor" mostra o preço mais recente já registrado (desse mês ou do anterior), como referência.</t>
  </si>
  <si>
    <t>5</t>
  </si>
  <si>
    <t>Confira o Painel</t>
  </si>
  <si>
    <t>Mostra o resultado do mês atual (total gasto, maior gasto, o que subiu/baixou de preço), um compilado com o total gasto em cada um dos 12 meses, e o ranking dos mercados mais em conta.</t>
  </si>
  <si>
    <t>🎨  LEGENDA DE CORES</t>
  </si>
  <si>
    <t>🔴 Vermelho</t>
  </si>
  <si>
    <t>O preço atual está maior que o último preço pago (abas mensais)</t>
  </si>
  <si>
    <t>🟢 Verde</t>
  </si>
  <si>
    <t>O preço atual está menor que o último preço pago (abas mensais)</t>
  </si>
  <si>
    <t>Texto riscado</t>
  </si>
  <si>
    <t>Item já marcado como comprado (coluna Comprado, abas mensais)</t>
  </si>
  <si>
    <t>🟣 Roxo claro</t>
  </si>
  <si>
    <t>A linha do mês atual, no compilado do Painel</t>
  </si>
  <si>
    <t>⚠️  A Quantidade Comprada nas 12 abas mensais só conta pra Lista de Produtos DEPOIS de marcar "✅ Sim" na coluna Comprado daquela linha — digitar o número sozinho não muda nada na lista. ⚠️  As abas mensais vêm em branco, só com os menus suspensos — escolha o Produto e o Mercado; a Categoria aparece sozinha. ⚠️  O mês da Lista de Produtos e do Painel é sempre o mês atual pelo calendário — não dá pra escolher outro mês manualmente. ⚠️  O Ranking de Mercados no Painel compara cada mercado com a média geral de cada mês — cadastre os mercados na lista ao lado da tabela de produtos, na aba Cadastro de Produtos.</t>
  </si>
  <si>
    <t>📋  CADASTRO DE PRODUTOS</t>
  </si>
  <si>
    <t>🏪  MERCADOS</t>
  </si>
  <si>
    <t>Cadastre uma vez tudo que você costuma comprar — isso alimenta as 12 abas de Controle de Preços</t>
  </si>
  <si>
    <t>Onde você costuma comprar</t>
  </si>
  <si>
    <t>Produto</t>
  </si>
  <si>
    <t>Categoria</t>
  </si>
  <si>
    <t>Quantidade que Usa no Mês</t>
  </si>
  <si>
    <t>Nome do Mercado</t>
  </si>
  <si>
    <t>Arroz 5kg</t>
  </si>
  <si>
    <t>Mercearia</t>
  </si>
  <si>
    <t>Mercado A</t>
  </si>
  <si>
    <t>Leite Integral 1L</t>
  </si>
  <si>
    <t>Laticínios</t>
  </si>
  <si>
    <t>Mercado B</t>
  </si>
  <si>
    <t>Sabão em Pó</t>
  </si>
  <si>
    <t>Limpeza</t>
  </si>
  <si>
    <t>Banana (kg)</t>
  </si>
  <si>
    <t>Hortifruti</t>
  </si>
  <si>
    <t>Frango (kg)</t>
  </si>
  <si>
    <t>Carnes</t>
  </si>
  <si>
    <t>🏷️  CONTROLE DE PREÇOS — JANEIRO</t>
  </si>
  <si>
    <t>Escolha o produto no menu — a Categoria vem sozinha. Quantidade é o que você REALMENTE comprou.</t>
  </si>
  <si>
    <t>Categoria (automático)</t>
  </si>
  <si>
    <t>Quantidade Comprada</t>
  </si>
  <si>
    <t>Preço Atual (R$)</t>
  </si>
  <si>
    <t>Mercado/Loja</t>
  </si>
  <si>
    <t>Último Preço Pago (R$)</t>
  </si>
  <si>
    <t>Variação de Preço</t>
  </si>
  <si>
    <t>Total da Compra (R$)</t>
  </si>
  <si>
    <t>Comprado?</t>
  </si>
  <si>
    <t>🏷️  CONTROLE DE PREÇOS — FEVEREIRO</t>
  </si>
  <si>
    <t>🏷️  CONTROLE DE PREÇOS — MARÇO</t>
  </si>
  <si>
    <t>🏷️  CONTROLE DE PREÇOS — ABRIL</t>
  </si>
  <si>
    <t>🏷️  CONTROLE DE PREÇOS — MAIO</t>
  </si>
  <si>
    <t>🏷️  CONTROLE DE PREÇOS — JUNHO</t>
  </si>
  <si>
    <t>🏷️  CONTROLE DE PREÇOS — JULHO</t>
  </si>
  <si>
    <t>🏷️  CONTROLE DE PREÇOS — AGOSTO</t>
  </si>
  <si>
    <t>🏷️  CONTROLE DE PREÇOS — SETEMBRO</t>
  </si>
  <si>
    <t>🏷️  CONTROLE DE PREÇOS — OUTUBRO</t>
  </si>
  <si>
    <t>🏷️  CONTROLE DE PREÇOS — NOVEMBRO</t>
  </si>
  <si>
    <t>🏷️  CONTROLE DE PREÇOS — DEZEMBRO</t>
  </si>
  <si>
    <t>Mês atual (automático):</t>
  </si>
  <si>
    <t>Detectado pela data de hoje</t>
  </si>
  <si>
    <t>Item</t>
  </si>
  <si>
    <t>Quantidade</t>
  </si>
  <si>
    <t>Último Valor (R$)</t>
  </si>
  <si>
    <t>Valor (R$)</t>
  </si>
  <si>
    <t>necessário</t>
  </si>
  <si>
    <t>linha</t>
  </si>
  <si>
    <t>🛒</t>
  </si>
  <si>
    <t>✅</t>
  </si>
  <si>
    <t>💰</t>
  </si>
  <si>
    <t>Itens na Lista</t>
  </si>
  <si>
    <t>Já Comprados</t>
  </si>
  <si>
    <t>Total Estimado do Mês</t>
  </si>
  <si>
    <t>🧾</t>
  </si>
  <si>
    <t>🏆</t>
  </si>
  <si>
    <t>Restante a Comprar (R$)</t>
  </si>
  <si>
    <t>Maior Gasto do Mês</t>
  </si>
  <si>
    <t>📈  AUMENTARAM DE PREÇO</t>
  </si>
  <si>
    <t>📉  FICARAM MAIS BARATOS</t>
  </si>
  <si>
    <t>📅  COMPILADO DOS 12 MESES</t>
  </si>
  <si>
    <t>Mês</t>
  </si>
  <si>
    <t>Total Gasto (R$)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</si>
  <si>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</si>
  <si>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</si>
  <si>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</si>
  <si>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</si>
  <si>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</si>
  <si>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</si>
  <si>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</si>
  <si>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</si>
  <si>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</si>
  <si>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</si>
  <si>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</si>
  <si>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</si>
  <si>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🏪  RANKING DE MERCADOS — % ABAIXO/ACIMA DA MÉDIA, MÊS A MÊS</t>
  </si>
  <si>
    <t>Média Geral (R$)</t>
  </si>
  <si>
    <t>Mercado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</si>
  <si>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</si>
  <si>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</si>
  <si>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</si>
  <si>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</si>
  <si>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</si>
  <si>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</si>
  <si>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</si>
  <si>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</si>
  <si>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</si>
  <si>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</si>
  <si>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</si>
  <si>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</si>
  <si>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% negativo (verde) = mercado mais barato que a média geral daquele mês. % positivo (vermelho) = mais caro que a média. Em branco = sem compra registrada lá naquele mês.</t>
  </si>
  <si>
    <t>uva (kg)</t>
  </si>
  <si>
    <t>❌ Não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</si>
</sst>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;\-0;;"/>
    <numFmt numFmtId="165" formatCode="#,##0.00;\-#,##0.00;;"/>
    <numFmt numFmtId="166" formatCode="0.0%"/>
    <numFmt numFmtId="167" formatCode="\+0.0%;\-0.0%;;"/>
  </numFmts>
  <fonts count="26" x14ac:knownFonts="1">
    <font>
      <sz val="11"/>
      <color theme="1"/>
      <name val="Calibri"/>
      <family val="2"/>
      <charset val="1"/>
    </font>
    <font>
      <b/>
      <sz val="20"/>
      <color rgb="FFFFFFFF"/>
      <name val="Cambria"/>
      <charset val="1"/>
    </font>
    <font>
      <i/>
      <sz val="10"/>
      <color rgb="FF3A2E22"/>
      <name val="Quattrocento Sans"/>
      <charset val="1"/>
    </font>
    <font>
      <b/>
      <sz val="10"/>
      <color rgb="FFFFFFFF"/>
      <name val="Quattrocento Sans"/>
      <charset val="1"/>
    </font>
    <font>
      <sz val="9"/>
      <color rgb="FF3A2E22"/>
      <name val="Quattrocento Sans"/>
      <charset val="1"/>
    </font>
    <font>
      <b/>
      <sz val="11"/>
      <color rgb="FFFFFFFF"/>
      <name val="Quattrocento Sans"/>
      <charset val="1"/>
    </font>
    <font>
      <b/>
      <sz val="12"/>
      <color rgb="FFFFFFFF"/>
      <name val="Quattrocento Sans"/>
      <charset val="1"/>
    </font>
    <font>
      <b/>
      <sz val="10"/>
      <color rgb="FF8B5E00"/>
      <name val="Quattrocento Sans"/>
      <charset val="1"/>
    </font>
    <font>
      <b/>
      <sz val="9"/>
      <color rgb="FF9B3B2E"/>
      <name val="Quattrocento Sans"/>
      <charset val="1"/>
    </font>
    <font>
      <b/>
      <sz val="9"/>
      <color rgb="FF2F6B3A"/>
      <name val="Quattrocento Sans"/>
      <charset val="1"/>
    </font>
    <font>
      <b/>
      <sz val="9"/>
      <color rgb="FF9A9088"/>
      <name val="Quattrocento Sans"/>
      <charset val="1"/>
    </font>
    <font>
      <b/>
      <sz val="9"/>
      <color rgb="FF5C3A6B"/>
      <name val="Quattrocento Sans"/>
      <charset val="1"/>
    </font>
    <font>
      <b/>
      <sz val="16"/>
      <color rgb="FFFFFFFF"/>
      <name val="Cambria"/>
      <charset val="1"/>
    </font>
    <font>
      <b/>
      <sz val="13"/>
      <color rgb="FFFFFFFF"/>
      <name val="Cambria"/>
      <charset val="1"/>
    </font>
    <font>
      <i/>
      <sz val="9"/>
      <color rgb="FF3A2E22"/>
      <name val="Quattrocento Sans"/>
      <charset val="1"/>
    </font>
    <font>
      <i/>
      <sz val="8"/>
      <color rgb="FF3A2E22"/>
      <name val="Quattrocento Sans"/>
      <charset val="1"/>
    </font>
    <font>
      <b/>
      <sz val="9"/>
      <color rgb="FF3A2E22"/>
      <name val="Quattrocento Sans"/>
      <charset val="1"/>
    </font>
    <font>
      <b/>
      <sz val="15"/>
      <color rgb="FFFFFFFF"/>
      <name val="Cambria"/>
      <charset val="1"/>
    </font>
    <font>
      <b/>
      <sz val="11"/>
      <color rgb="FF8B5E00"/>
      <name val="Quattrocento Sans"/>
      <charset val="1"/>
    </font>
    <font>
      <sz val="10"/>
      <color rgb="FF3A2E22"/>
      <name val="Quattrocento Sans"/>
      <charset val="1"/>
    </font>
    <font>
      <sz val="8"/>
      <color rgb="FFC9BEA6"/>
      <name val="Quattrocento Sans"/>
      <charset val="1"/>
    </font>
    <font>
      <b/>
      <sz val="16"/>
      <color rgb="FFFFFFFF"/>
      <name val="Quattrocento Sans"/>
      <charset val="1"/>
    </font>
    <font>
      <b/>
      <sz val="14"/>
      <color rgb="FF8B5E00"/>
      <name val="Quattrocento Sans"/>
      <charset val="1"/>
    </font>
    <font>
      <b/>
      <sz val="9"/>
      <color rgb="FF8B5E00"/>
      <name val="Quattrocento Sans"/>
      <charset val="1"/>
    </font>
    <font>
      <i/>
      <sz val="8"/>
      <color rgb="FF8B5E00"/>
      <name val="Quattrocento Sans"/>
      <charset val="1"/>
    </font>
    <font>
      <i/>
      <sz val="8"/>
      <color rgb="FF7A6A50"/>
      <name val="Quattrocento Sans"/>
      <charset val="1"/>
    </font>
  </fonts>
  <fills count="13">
    <fill>
      <patternFill patternType="none"/>
    </fill>
    <fill>
      <patternFill patternType="gray125"/>
    </fill>
    <fill>
      <patternFill patternType="solid">
        <fgColor rgb="FFD9A441"/>
        <bgColor rgb="FFC9BEA6"/>
      </patternFill>
    </fill>
    <fill>
      <patternFill patternType="solid">
        <fgColor rgb="FFFFFBF5"/>
        <bgColor rgb="FFF9F9F9"/>
      </patternFill>
    </fill>
    <fill>
      <patternFill patternType="solid">
        <fgColor rgb="FFFDF3E0"/>
        <bgColor rgb="FFFFF7EC"/>
      </patternFill>
    </fill>
    <fill>
      <patternFill patternType="solid">
        <fgColor rgb="FF6B4C7A"/>
        <bgColor rgb="FF5C3A6B"/>
      </patternFill>
    </fill>
    <fill>
      <patternFill patternType="solid">
        <fgColor rgb="FFFFF7EC"/>
        <bgColor rgb="FFFFFBF5"/>
      </patternFill>
    </fill>
    <fill>
      <patternFill patternType="solid">
        <fgColor rgb="FFF5D3CE"/>
        <bgColor rgb="FFE8DCC8"/>
      </patternFill>
    </fill>
    <fill>
      <patternFill patternType="solid">
        <fgColor rgb="FFD6EAD7"/>
        <bgColor rgb="FFD9D9D9"/>
      </patternFill>
    </fill>
    <fill>
      <patternFill patternType="solid">
        <fgColor rgb="FFE8DCEF"/>
        <bgColor rgb="FFD9D9D9"/>
      </patternFill>
    </fill>
    <fill>
      <patternFill patternType="solid">
        <fgColor rgb="FFFFFFFF"/>
        <bgColor rgb="FFFFFBF5"/>
      </patternFill>
    </fill>
    <fill>
      <patternFill patternType="solid">
        <fgColor rgb="FF9B3B2E"/>
        <bgColor rgb="FF993366"/>
      </patternFill>
    </fill>
    <fill>
      <patternFill patternType="solid">
        <fgColor rgb="FF2F6B3A"/>
        <bgColor rgb="FF00808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8B5E00"/>
      </bottom>
      <diagonal/>
    </border>
    <border>
      <left/>
      <right/>
      <top/>
      <bottom style="hair">
        <color rgb="FFE8DCC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8B5E00"/>
      </bottom>
      <diagonal/>
    </border>
    <border>
      <left/>
      <right/>
      <top style="medium">
        <color indexed="64"/>
      </top>
      <bottom style="thin">
        <color rgb="FF8B5E00"/>
      </bottom>
      <diagonal/>
    </border>
    <border>
      <left/>
      <right style="medium">
        <color indexed="64"/>
      </right>
      <top style="medium">
        <color indexed="64"/>
      </top>
      <bottom style="thin">
        <color rgb="FF8B5E00"/>
      </bottom>
      <diagonal/>
    </border>
    <border>
      <left style="medium">
        <color indexed="64"/>
      </left>
      <right/>
      <top/>
      <bottom style="thin">
        <color rgb="FF8B5E00"/>
      </bottom>
      <diagonal/>
    </border>
    <border>
      <left/>
      <right style="medium">
        <color indexed="64"/>
      </right>
      <top/>
      <bottom style="thin">
        <color rgb="FF8B5E00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7" fillId="6" borderId="0" xfId="0" applyFont="1" applyFill="1" applyAlignment="1">
      <alignment horizontal="left" vertical="center" wrapText="1"/>
    </xf>
    <xf numFmtId="0" fontId="13" fillId="5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 applyProtection="1">
      <alignment horizontal="left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164" fontId="4" fillId="3" borderId="2" xfId="0" applyNumberFormat="1" applyFont="1" applyFill="1" applyBorder="1" applyAlignment="1" applyProtection="1">
      <alignment horizontal="right" vertical="center"/>
      <protection locked="0"/>
    </xf>
    <xf numFmtId="0" fontId="4" fillId="6" borderId="2" xfId="0" applyFont="1" applyFill="1" applyBorder="1" applyAlignment="1" applyProtection="1">
      <alignment horizontal="left" vertical="center" wrapText="1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164" fontId="4" fillId="6" borderId="2" xfId="0" applyNumberFormat="1" applyFont="1" applyFill="1" applyBorder="1" applyAlignment="1" applyProtection="1">
      <alignment horizontal="right" vertical="center"/>
      <protection locked="0"/>
    </xf>
    <xf numFmtId="0" fontId="4" fillId="3" borderId="2" xfId="0" applyFont="1" applyFill="1" applyBorder="1" applyAlignment="1">
      <alignment horizontal="center" vertical="center" wrapText="1"/>
    </xf>
    <xf numFmtId="165" fontId="4" fillId="3" borderId="2" xfId="0" applyNumberFormat="1" applyFont="1" applyFill="1" applyBorder="1" applyAlignment="1" applyProtection="1">
      <alignment horizontal="right" vertical="center"/>
      <protection locked="0"/>
    </xf>
    <xf numFmtId="166" fontId="4" fillId="3" borderId="2" xfId="0" applyNumberFormat="1" applyFont="1" applyFill="1" applyBorder="1" applyAlignment="1">
      <alignment horizontal="center" vertical="center" wrapText="1"/>
    </xf>
    <xf numFmtId="165" fontId="16" fillId="3" borderId="2" xfId="0" applyNumberFormat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165" fontId="4" fillId="6" borderId="2" xfId="0" applyNumberFormat="1" applyFont="1" applyFill="1" applyBorder="1" applyAlignment="1" applyProtection="1">
      <alignment horizontal="right" vertical="center"/>
      <protection locked="0"/>
    </xf>
    <xf numFmtId="166" fontId="4" fillId="6" borderId="2" xfId="0" applyNumberFormat="1" applyFont="1" applyFill="1" applyBorder="1" applyAlignment="1">
      <alignment horizontal="center" vertical="center" wrapText="1"/>
    </xf>
    <xf numFmtId="165" fontId="16" fillId="6" borderId="2" xfId="0" applyNumberFormat="1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left" vertical="center" wrapText="1"/>
    </xf>
    <xf numFmtId="164" fontId="19" fillId="10" borderId="1" xfId="0" applyNumberFormat="1" applyFont="1" applyFill="1" applyBorder="1" applyAlignment="1">
      <alignment horizontal="center" vertical="center" wrapText="1"/>
    </xf>
    <xf numFmtId="165" fontId="19" fillId="10" borderId="1" xfId="0" applyNumberFormat="1" applyFont="1" applyFill="1" applyBorder="1" applyAlignment="1">
      <alignment horizontal="center" vertical="center" wrapText="1"/>
    </xf>
    <xf numFmtId="164" fontId="20" fillId="0" borderId="0" xfId="0" applyNumberFormat="1" applyFont="1"/>
    <xf numFmtId="0" fontId="20" fillId="0" borderId="0" xfId="0" applyFont="1"/>
    <xf numFmtId="0" fontId="19" fillId="3" borderId="1" xfId="0" applyFont="1" applyFill="1" applyBorder="1" applyAlignment="1">
      <alignment horizontal="left" vertical="center" wrapText="1"/>
    </xf>
    <xf numFmtId="164" fontId="19" fillId="3" borderId="1" xfId="0" applyNumberFormat="1" applyFont="1" applyFill="1" applyBorder="1" applyAlignment="1">
      <alignment horizontal="center" vertical="center" wrapText="1"/>
    </xf>
    <xf numFmtId="165" fontId="19" fillId="3" borderId="1" xfId="0" applyNumberFormat="1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6" fillId="9" borderId="0" xfId="0" applyFont="1" applyFill="1" applyAlignment="1">
      <alignment horizontal="center" vertical="center" wrapText="1"/>
    </xf>
    <xf numFmtId="1" fontId="22" fillId="4" borderId="0" xfId="0" applyNumberFormat="1" applyFont="1" applyFill="1" applyAlignment="1">
      <alignment horizontal="center" vertical="center" wrapText="1"/>
    </xf>
    <xf numFmtId="4" fontId="22" fillId="9" borderId="0" xfId="0" applyNumberFormat="1" applyFont="1" applyFill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166" fontId="8" fillId="3" borderId="2" xfId="0" applyNumberFormat="1" applyFont="1" applyFill="1" applyBorder="1" applyAlignment="1">
      <alignment horizontal="center" vertical="center" wrapText="1"/>
    </xf>
    <xf numFmtId="166" fontId="9" fillId="3" borderId="2" xfId="0" applyNumberFormat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left" vertical="center" wrapText="1"/>
    </xf>
    <xf numFmtId="166" fontId="8" fillId="6" borderId="2" xfId="0" applyNumberFormat="1" applyFont="1" applyFill="1" applyBorder="1" applyAlignment="1">
      <alignment horizontal="center" vertical="center" wrapText="1"/>
    </xf>
    <xf numFmtId="166" fontId="9" fillId="6" borderId="2" xfId="0" applyNumberFormat="1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165" fontId="24" fillId="4" borderId="0" xfId="0" applyNumberFormat="1" applyFont="1" applyFill="1" applyAlignment="1">
      <alignment horizontal="center" vertical="center" wrapText="1"/>
    </xf>
    <xf numFmtId="167" fontId="4" fillId="3" borderId="2" xfId="0" applyNumberFormat="1" applyFont="1" applyFill="1" applyBorder="1" applyAlignment="1">
      <alignment horizontal="center" vertical="center" wrapText="1"/>
    </xf>
    <xf numFmtId="167" fontId="4" fillId="6" borderId="2" xfId="0" applyNumberFormat="1" applyFont="1" applyFill="1" applyBorder="1" applyAlignment="1">
      <alignment horizontal="center" vertical="center" wrapText="1"/>
    </xf>
    <xf numFmtId="0" fontId="11" fillId="9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5" fillId="12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165" fontId="23" fillId="3" borderId="2" xfId="0" applyNumberFormat="1" applyFont="1" applyFill="1" applyBorder="1" applyAlignment="1">
      <alignment horizontal="right" vertical="center"/>
    </xf>
    <xf numFmtId="165" fontId="23" fillId="6" borderId="2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6" fillId="9" borderId="9" xfId="0" applyFont="1" applyFill="1" applyBorder="1" applyAlignment="1">
      <alignment horizontal="center" vertical="center" wrapText="1"/>
    </xf>
    <xf numFmtId="0" fontId="16" fillId="9" borderId="10" xfId="0" applyFont="1" applyFill="1" applyBorder="1" applyAlignment="1">
      <alignment horizontal="center" vertical="center" wrapText="1"/>
    </xf>
    <xf numFmtId="0" fontId="16" fillId="9" borderId="11" xfId="0" applyFont="1" applyFill="1" applyBorder="1" applyAlignment="1">
      <alignment horizontal="center" vertical="center" wrapText="1"/>
    </xf>
    <xf numFmtId="1" fontId="19" fillId="10" borderId="12" xfId="0" applyNumberFormat="1" applyFont="1" applyFill="1" applyBorder="1" applyAlignment="1">
      <alignment horizontal="center" vertical="center" wrapText="1"/>
    </xf>
    <xf numFmtId="165" fontId="19" fillId="10" borderId="13" xfId="0" applyNumberFormat="1" applyFont="1" applyFill="1" applyBorder="1" applyProtection="1">
      <protection locked="0"/>
    </xf>
    <xf numFmtId="1" fontId="19" fillId="3" borderId="12" xfId="0" applyNumberFormat="1" applyFont="1" applyFill="1" applyBorder="1" applyAlignment="1">
      <alignment horizontal="center" vertical="center" wrapText="1"/>
    </xf>
    <xf numFmtId="165" fontId="19" fillId="3" borderId="13" xfId="0" applyNumberFormat="1" applyFont="1" applyFill="1" applyBorder="1" applyProtection="1">
      <protection locked="0"/>
    </xf>
    <xf numFmtId="1" fontId="19" fillId="3" borderId="6" xfId="0" applyNumberFormat="1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left" vertical="center" wrapText="1"/>
    </xf>
    <xf numFmtId="164" fontId="19" fillId="3" borderId="7" xfId="0" applyNumberFormat="1" applyFont="1" applyFill="1" applyBorder="1" applyAlignment="1">
      <alignment horizontal="center" vertical="center" wrapText="1"/>
    </xf>
    <xf numFmtId="165" fontId="19" fillId="3" borderId="7" xfId="0" applyNumberFormat="1" applyFont="1" applyFill="1" applyBorder="1" applyAlignment="1">
      <alignment horizontal="center" vertical="center" wrapText="1"/>
    </xf>
    <xf numFmtId="165" fontId="19" fillId="3" borderId="8" xfId="0" applyNumberFormat="1" applyFont="1" applyFill="1" applyBorder="1" applyProtection="1">
      <protection locked="0"/>
    </xf>
    <xf numFmtId="1" fontId="19" fillId="10" borderId="9" xfId="0" applyNumberFormat="1" applyFont="1" applyFill="1" applyBorder="1" applyAlignment="1">
      <alignment horizontal="center" vertical="center" wrapText="1"/>
    </xf>
    <xf numFmtId="0" fontId="19" fillId="10" borderId="10" xfId="0" applyFont="1" applyFill="1" applyBorder="1" applyAlignment="1">
      <alignment horizontal="left" vertical="center" wrapText="1"/>
    </xf>
    <xf numFmtId="164" fontId="19" fillId="10" borderId="10" xfId="0" applyNumberFormat="1" applyFont="1" applyFill="1" applyBorder="1" applyAlignment="1">
      <alignment horizontal="center" vertical="center" wrapText="1"/>
    </xf>
    <xf numFmtId="165" fontId="19" fillId="10" borderId="10" xfId="0" applyNumberFormat="1" applyFont="1" applyFill="1" applyBorder="1" applyAlignment="1">
      <alignment horizontal="center" vertical="center" wrapText="1"/>
    </xf>
    <xf numFmtId="165" fontId="19" fillId="10" borderId="11" xfId="0" applyNumberFormat="1" applyFont="1" applyFill="1" applyBorder="1" applyProtection="1">
      <protection locked="0"/>
    </xf>
  </cellXfs>
  <cellStyles count="1">
    <cellStyle name="Normal" xfId="0" builtinId="0"/>
  </cellStyles>
  <dxfs count="41">
    <dxf>
      <font>
        <color rgb="FF9B3B2E"/>
      </font>
    </dxf>
    <dxf>
      <font>
        <b/>
        <color rgb="FF2F6B3A"/>
      </font>
    </dxf>
    <dxf>
      <font>
        <b/>
        <color rgb="FF5C3A6B"/>
      </font>
      <fill>
        <patternFill>
          <bgColor rgb="FFE8DCEF"/>
        </patternFill>
      </fill>
    </dxf>
    <dxf>
      <font>
        <color rgb="FF2F6B3A"/>
      </font>
      <fill>
        <patternFill>
          <bgColor rgb="FFD6EAD7"/>
        </patternFill>
      </fill>
    </dxf>
    <dxf>
      <font>
        <color rgb="FF9B3B2E"/>
      </font>
      <fill>
        <patternFill>
          <bgColor rgb="FFF5D3CE"/>
        </patternFill>
      </fill>
    </dxf>
    <dxf>
      <font>
        <strike/>
        <color rgb="FF9A9088"/>
      </font>
    </dxf>
    <dxf>
      <font>
        <color rgb="FF2F6B3A"/>
      </font>
      <fill>
        <patternFill>
          <bgColor rgb="FFD6EAD7"/>
        </patternFill>
      </fill>
    </dxf>
    <dxf>
      <font>
        <color rgb="FF9B3B2E"/>
      </font>
      <fill>
        <patternFill>
          <bgColor rgb="FFF5D3CE"/>
        </patternFill>
      </fill>
    </dxf>
    <dxf>
      <font>
        <strike/>
        <color rgb="FF9A9088"/>
      </font>
    </dxf>
    <dxf>
      <font>
        <color rgb="FF2F6B3A"/>
      </font>
      <fill>
        <patternFill>
          <bgColor rgb="FFD6EAD7"/>
        </patternFill>
      </fill>
    </dxf>
    <dxf>
      <font>
        <color rgb="FF9B3B2E"/>
      </font>
      <fill>
        <patternFill>
          <bgColor rgb="FFF5D3CE"/>
        </patternFill>
      </fill>
    </dxf>
    <dxf>
      <font>
        <strike/>
        <color rgb="FF9A9088"/>
      </font>
    </dxf>
    <dxf>
      <font>
        <color rgb="FF2F6B3A"/>
      </font>
      <fill>
        <patternFill>
          <bgColor rgb="FFD6EAD7"/>
        </patternFill>
      </fill>
    </dxf>
    <dxf>
      <font>
        <color rgb="FF9B3B2E"/>
      </font>
      <fill>
        <patternFill>
          <bgColor rgb="FFF5D3CE"/>
        </patternFill>
      </fill>
    </dxf>
    <dxf>
      <font>
        <strike/>
        <color rgb="FF9A9088"/>
      </font>
    </dxf>
    <dxf>
      <font>
        <color rgb="FF2F6B3A"/>
      </font>
      <fill>
        <patternFill>
          <bgColor rgb="FFD6EAD7"/>
        </patternFill>
      </fill>
    </dxf>
    <dxf>
      <font>
        <color rgb="FF9B3B2E"/>
      </font>
      <fill>
        <patternFill>
          <bgColor rgb="FFF5D3CE"/>
        </patternFill>
      </fill>
    </dxf>
    <dxf>
      <font>
        <strike/>
        <color rgb="FF9A9088"/>
      </font>
    </dxf>
    <dxf>
      <font>
        <color rgb="FF2F6B3A"/>
      </font>
      <fill>
        <patternFill>
          <bgColor rgb="FFD6EAD7"/>
        </patternFill>
      </fill>
    </dxf>
    <dxf>
      <font>
        <color rgb="FF9B3B2E"/>
      </font>
      <fill>
        <patternFill>
          <bgColor rgb="FFF5D3CE"/>
        </patternFill>
      </fill>
    </dxf>
    <dxf>
      <font>
        <strike/>
        <color rgb="FF9A9088"/>
      </font>
    </dxf>
    <dxf>
      <font>
        <color rgb="FF2F6B3A"/>
      </font>
      <fill>
        <patternFill>
          <bgColor rgb="FFD6EAD7"/>
        </patternFill>
      </fill>
    </dxf>
    <dxf>
      <font>
        <color rgb="FF9B3B2E"/>
      </font>
      <fill>
        <patternFill>
          <bgColor rgb="FFF5D3CE"/>
        </patternFill>
      </fill>
    </dxf>
    <dxf>
      <font>
        <strike/>
        <color rgb="FF9A9088"/>
      </font>
    </dxf>
    <dxf>
      <font>
        <color rgb="FF2F6B3A"/>
      </font>
      <fill>
        <patternFill>
          <bgColor rgb="FFD6EAD7"/>
        </patternFill>
      </fill>
    </dxf>
    <dxf>
      <font>
        <color rgb="FF9B3B2E"/>
      </font>
      <fill>
        <patternFill>
          <bgColor rgb="FFF5D3CE"/>
        </patternFill>
      </fill>
    </dxf>
    <dxf>
      <font>
        <strike/>
        <color rgb="FF9A9088"/>
      </font>
    </dxf>
    <dxf>
      <font>
        <color rgb="FF2F6B3A"/>
      </font>
      <fill>
        <patternFill>
          <bgColor rgb="FFD6EAD7"/>
        </patternFill>
      </fill>
    </dxf>
    <dxf>
      <font>
        <color rgb="FF9B3B2E"/>
      </font>
      <fill>
        <patternFill>
          <bgColor rgb="FFF5D3CE"/>
        </patternFill>
      </fill>
    </dxf>
    <dxf>
      <font>
        <strike/>
        <color rgb="FF9A9088"/>
      </font>
    </dxf>
    <dxf>
      <font>
        <color rgb="FF2F6B3A"/>
      </font>
      <fill>
        <patternFill>
          <bgColor rgb="FFD6EAD7"/>
        </patternFill>
      </fill>
    </dxf>
    <dxf>
      <font>
        <color rgb="FF9B3B2E"/>
      </font>
      <fill>
        <patternFill>
          <bgColor rgb="FFF5D3CE"/>
        </patternFill>
      </fill>
    </dxf>
    <dxf>
      <font>
        <strike/>
        <color rgb="FF9A9088"/>
      </font>
    </dxf>
    <dxf>
      <font>
        <color rgb="FF2F6B3A"/>
      </font>
      <fill>
        <patternFill>
          <bgColor rgb="FFD6EAD7"/>
        </patternFill>
      </fill>
    </dxf>
    <dxf>
      <font>
        <color rgb="FF9B3B2E"/>
      </font>
      <fill>
        <patternFill>
          <bgColor rgb="FFF5D3CE"/>
        </patternFill>
      </fill>
    </dxf>
    <dxf>
      <font>
        <strike/>
        <color rgb="FF9A9088"/>
      </font>
    </dxf>
    <dxf>
      <font>
        <color rgb="FF2F6B3A"/>
      </font>
      <fill>
        <patternFill>
          <bgColor rgb="FFD6EAD7"/>
        </patternFill>
      </fill>
    </dxf>
    <dxf>
      <font>
        <color rgb="FF9B3B2E"/>
      </font>
      <fill>
        <patternFill>
          <bgColor rgb="FFF5D3CE"/>
        </patternFill>
      </fill>
    </dxf>
    <dxf>
      <font>
        <strike/>
        <color rgb="FF9A9088"/>
      </font>
    </dxf>
    <dxf>
      <font>
        <b/>
        <color rgb="FF9B3B2E"/>
      </font>
      <fill>
        <patternFill>
          <bgColor rgb="FFF5D3CE"/>
        </patternFill>
      </fill>
    </dxf>
    <dxf>
      <font>
        <b/>
        <color rgb="FF9B3B2E"/>
      </font>
      <fill>
        <patternFill>
          <bgColor rgb="FFF5D3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F6B3A"/>
      <rgbColor rgb="FF000080"/>
      <rgbColor rgb="FF8B5E00"/>
      <rgbColor rgb="FF800080"/>
      <rgbColor rgb="FF008080"/>
      <rgbColor rgb="FFC9BEA6"/>
      <rgbColor rgb="FF878787"/>
      <rgbColor rgb="FF9999FF"/>
      <rgbColor rgb="FF7A6A50"/>
      <rgbColor rgb="FFFDF3E0"/>
      <rgbColor rgb="FFF9F9F9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FBF5"/>
      <rgbColor rgb="FFD6EAD7"/>
      <rgbColor rgb="FFFFF7EC"/>
      <rgbColor rgb="FFE8DCEF"/>
      <rgbColor rgb="FFE8DCC8"/>
      <rgbColor rgb="FFCC99FF"/>
      <rgbColor rgb="FFF5D3CE"/>
      <rgbColor rgb="FF4F81BD"/>
      <rgbColor rgb="FF33CCCC"/>
      <rgbColor rgb="FF99CC00"/>
      <rgbColor rgb="FFFFCC00"/>
      <rgbColor rgb="FFD9A441"/>
      <rgbColor rgb="FFFF6600"/>
      <rgbColor rgb="FF6B4C7A"/>
      <rgbColor rgb="FF9A9088"/>
      <rgbColor rgb="FF003366"/>
      <rgbColor rgb="FF339966"/>
      <rgbColor rgb="FF003300"/>
      <rgbColor rgb="FF333300"/>
      <rgbColor rgb="FF9B3B2E"/>
      <rgbColor rgb="FF993366"/>
      <rgbColor rgb="FF5C3A6B"/>
      <rgbColor rgb="FF3A2E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 i="0" u="none" strike="noStrike" kern="1200" baseline="0">
                <a:solidFill>
                  <a:schemeClr val="tx2"/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pt-BR">
                <a:solidFill>
                  <a:schemeClr val="tx2"/>
                </a:solidFill>
              </a:rPr>
              <a:t>Total gasto por mês (R$)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Painel!$C$22</c:f>
              <c:strCache>
                <c:ptCount val="1"/>
                <c:pt idx="0">
                  <c:v>Total Gasto (R$)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100000">
                  <a:schemeClr val="accent3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Painel!$B$23:$B$34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Painel!$C$23:$C$34</c:f>
              <c:numCache>
                <c:formatCode>#,##0.00;\-#,##0.00;;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7A-481E-BDD8-FF55BB2E4B72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92117782"/>
        <c:axId val="10526575"/>
      </c:barChart>
      <c:catAx>
        <c:axId val="9211778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526575"/>
        <c:crosses val="autoZero"/>
        <c:auto val="1"/>
        <c:lblAlgn val="ctr"/>
        <c:lblOffset val="100"/>
        <c:noMultiLvlLbl val="0"/>
      </c:catAx>
      <c:valAx>
        <c:axId val="10526575"/>
        <c:scaling>
          <c:orientation val="minMax"/>
        </c:scaling>
        <c:delete val="1"/>
        <c:axPos val="l"/>
        <c:numFmt formatCode="#,##0.00;\-#,##0.00;;" sourceLinked="1"/>
        <c:majorTickMark val="none"/>
        <c:minorTickMark val="none"/>
        <c:tickLblPos val="nextTo"/>
        <c:crossAx val="9211778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18</xdr:row>
      <xdr:rowOff>113205</xdr:rowOff>
    </xdr:from>
    <xdr:to>
      <xdr:col>14</xdr:col>
      <xdr:colOff>130140</xdr:colOff>
      <xdr:row>37</xdr:row>
      <xdr:rowOff>93405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B2:M28"/>
  <sheetViews>
    <sheetView showGridLines="0" tabSelected="1" zoomScaleNormal="100" workbookViewId="0">
      <pane ySplit="3" topLeftCell="A4" activePane="bottomLeft" state="frozen"/>
      <selection pane="bottomLeft" activeCell="P3" sqref="P3"/>
    </sheetView>
  </sheetViews>
  <sheetFormatPr defaultColWidth="8.7109375" defaultRowHeight="15" x14ac:dyDescent="0.25"/>
  <cols>
    <col min="1" max="1" width="4" customWidth="1"/>
    <col min="2" max="2" width="3" customWidth="1"/>
    <col min="3" max="3" width="24" customWidth="1"/>
    <col min="4" max="4" width="3" customWidth="1"/>
    <col min="5" max="5" width="24" customWidth="1"/>
    <col min="6" max="6" width="3" customWidth="1"/>
    <col min="7" max="7" width="24" customWidth="1"/>
    <col min="8" max="12" width="3" customWidth="1"/>
  </cols>
  <sheetData>
    <row r="2" spans="2:13" ht="30" customHeight="1" x14ac:dyDescent="0.25">
      <c r="B2" s="46" t="s">
        <v>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2:13" ht="30" customHeight="1" x14ac:dyDescent="0.25"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2:13" ht="19.5" customHeight="1" x14ac:dyDescent="0.25">
      <c r="B4" s="54" t="s">
        <v>1</v>
      </c>
      <c r="C4" s="54"/>
      <c r="D4" s="54"/>
      <c r="E4" s="54"/>
      <c r="F4" s="54"/>
      <c r="G4" s="54"/>
      <c r="H4" s="54"/>
      <c r="I4" s="54"/>
      <c r="J4" s="54"/>
      <c r="K4" s="54"/>
    </row>
    <row r="6" spans="2:13" ht="29.25" customHeight="1" x14ac:dyDescent="0.25">
      <c r="B6" s="55" t="s">
        <v>2</v>
      </c>
      <c r="C6" s="55"/>
      <c r="D6" s="55"/>
      <c r="E6" s="55"/>
      <c r="F6" s="55" t="s">
        <v>3</v>
      </c>
      <c r="G6" s="55"/>
      <c r="H6" s="55"/>
      <c r="I6" s="55"/>
      <c r="J6" s="55" t="s">
        <v>4</v>
      </c>
      <c r="K6" s="55"/>
      <c r="L6" s="55"/>
      <c r="M6" s="55"/>
    </row>
    <row r="7" spans="2:13" ht="18" customHeight="1" x14ac:dyDescent="0.25">
      <c r="B7" s="53" t="s">
        <v>5</v>
      </c>
      <c r="C7" s="53"/>
      <c r="D7" s="53"/>
      <c r="E7" s="53"/>
      <c r="F7" s="53" t="s">
        <v>6</v>
      </c>
      <c r="G7" s="53"/>
      <c r="H7" s="53"/>
      <c r="I7" s="53"/>
      <c r="J7" s="53" t="s">
        <v>7</v>
      </c>
      <c r="K7" s="53"/>
      <c r="L7" s="53"/>
      <c r="M7" s="53"/>
    </row>
    <row r="8" spans="2:13" ht="18" customHeight="1" x14ac:dyDescent="0.25"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</row>
    <row r="9" spans="2:13" ht="18" customHeight="1" x14ac:dyDescent="0.25"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</row>
    <row r="11" spans="2:13" ht="15" customHeight="1" x14ac:dyDescent="0.25">
      <c r="B11" s="48" t="s">
        <v>8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</row>
    <row r="13" spans="2:13" ht="39.75" customHeight="1" x14ac:dyDescent="0.25">
      <c r="B13" s="1" t="s">
        <v>9</v>
      </c>
      <c r="C13" s="2" t="s">
        <v>10</v>
      </c>
      <c r="D13" s="47" t="s">
        <v>11</v>
      </c>
      <c r="E13" s="47"/>
      <c r="F13" s="47"/>
      <c r="G13" s="47"/>
      <c r="H13" s="47"/>
      <c r="I13" s="47"/>
      <c r="J13" s="47"/>
      <c r="K13" s="47"/>
      <c r="L13" s="47"/>
      <c r="M13" s="47"/>
    </row>
    <row r="14" spans="2:13" ht="46.5" customHeight="1" x14ac:dyDescent="0.25">
      <c r="B14" s="1" t="s">
        <v>12</v>
      </c>
      <c r="C14" s="3" t="s">
        <v>13</v>
      </c>
      <c r="D14" s="49" t="s">
        <v>14</v>
      </c>
      <c r="E14" s="49"/>
      <c r="F14" s="49"/>
      <c r="G14" s="49"/>
      <c r="H14" s="49"/>
      <c r="I14" s="49"/>
      <c r="J14" s="49"/>
      <c r="K14" s="49"/>
      <c r="L14" s="49"/>
      <c r="M14" s="49"/>
    </row>
    <row r="15" spans="2:13" ht="39.75" customHeight="1" x14ac:dyDescent="0.25">
      <c r="B15" s="1" t="s">
        <v>15</v>
      </c>
      <c r="C15" s="2" t="s">
        <v>16</v>
      </c>
      <c r="D15" s="47" t="s">
        <v>17</v>
      </c>
      <c r="E15" s="47"/>
      <c r="F15" s="47"/>
      <c r="G15" s="47"/>
      <c r="H15" s="47"/>
      <c r="I15" s="47"/>
      <c r="J15" s="47"/>
      <c r="K15" s="47"/>
      <c r="L15" s="47"/>
      <c r="M15" s="47"/>
    </row>
    <row r="16" spans="2:13" ht="39.75" customHeight="1" x14ac:dyDescent="0.25">
      <c r="B16" s="1" t="s">
        <v>18</v>
      </c>
      <c r="C16" s="3" t="s">
        <v>19</v>
      </c>
      <c r="D16" s="49" t="s">
        <v>20</v>
      </c>
      <c r="E16" s="49"/>
      <c r="F16" s="49"/>
      <c r="G16" s="49"/>
      <c r="H16" s="49"/>
      <c r="I16" s="49"/>
      <c r="J16" s="49"/>
      <c r="K16" s="49"/>
      <c r="L16" s="49"/>
      <c r="M16" s="49"/>
    </row>
    <row r="17" spans="2:13" ht="39.75" customHeight="1" x14ac:dyDescent="0.25">
      <c r="B17" s="1" t="s">
        <v>21</v>
      </c>
      <c r="C17" s="2" t="s">
        <v>22</v>
      </c>
      <c r="D17" s="47" t="s">
        <v>23</v>
      </c>
      <c r="E17" s="47"/>
      <c r="F17" s="47"/>
      <c r="G17" s="47"/>
      <c r="H17" s="47"/>
      <c r="I17" s="47"/>
      <c r="J17" s="47"/>
      <c r="K17" s="47"/>
      <c r="L17" s="47"/>
      <c r="M17" s="47"/>
    </row>
    <row r="19" spans="2:13" ht="15" customHeight="1" x14ac:dyDescent="0.25">
      <c r="B19" s="48" t="s">
        <v>24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</row>
    <row r="20" spans="2:13" ht="18" customHeight="1" x14ac:dyDescent="0.25">
      <c r="B20" s="50" t="s">
        <v>25</v>
      </c>
      <c r="C20" s="50"/>
      <c r="D20" s="50"/>
      <c r="E20" s="47" t="s">
        <v>26</v>
      </c>
      <c r="F20" s="47"/>
      <c r="G20" s="47"/>
      <c r="H20" s="47"/>
      <c r="I20" s="47"/>
      <c r="J20" s="47"/>
      <c r="K20" s="47"/>
      <c r="L20" s="47"/>
      <c r="M20" s="47"/>
    </row>
    <row r="21" spans="2:13" ht="18" customHeight="1" x14ac:dyDescent="0.25">
      <c r="B21" s="51" t="s">
        <v>27</v>
      </c>
      <c r="C21" s="51"/>
      <c r="D21" s="51"/>
      <c r="E21" s="47" t="s">
        <v>28</v>
      </c>
      <c r="F21" s="47"/>
      <c r="G21" s="47"/>
      <c r="H21" s="47"/>
      <c r="I21" s="47"/>
      <c r="J21" s="47"/>
      <c r="K21" s="47"/>
      <c r="L21" s="47"/>
      <c r="M21" s="47"/>
    </row>
    <row r="22" spans="2:13" ht="18" customHeight="1" x14ac:dyDescent="0.25">
      <c r="B22" s="52" t="s">
        <v>29</v>
      </c>
      <c r="C22" s="52"/>
      <c r="D22" s="52"/>
      <c r="E22" s="47" t="s">
        <v>30</v>
      </c>
      <c r="F22" s="47"/>
      <c r="G22" s="47"/>
      <c r="H22" s="47"/>
      <c r="I22" s="47"/>
      <c r="J22" s="47"/>
      <c r="K22" s="47"/>
      <c r="L22" s="47"/>
      <c r="M22" s="47"/>
    </row>
    <row r="23" spans="2:13" ht="18" customHeight="1" x14ac:dyDescent="0.25">
      <c r="B23" s="45" t="s">
        <v>31</v>
      </c>
      <c r="C23" s="45"/>
      <c r="D23" s="45"/>
      <c r="E23" s="47" t="s">
        <v>32</v>
      </c>
      <c r="F23" s="47"/>
      <c r="G23" s="47"/>
      <c r="H23" s="47"/>
      <c r="I23" s="47"/>
      <c r="J23" s="47"/>
      <c r="K23" s="47"/>
      <c r="L23" s="47"/>
      <c r="M23" s="47"/>
    </row>
    <row r="25" spans="2:13" ht="25.5" customHeight="1" x14ac:dyDescent="0.25">
      <c r="B25" s="45" t="s">
        <v>33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</row>
    <row r="26" spans="2:13" ht="25.5" customHeight="1" x14ac:dyDescent="0.25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</row>
    <row r="27" spans="2:13" ht="25.5" customHeight="1" x14ac:dyDescent="0.25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</row>
    <row r="28" spans="2:13" ht="25.5" customHeight="1" x14ac:dyDescent="0.25"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</row>
  </sheetData>
  <sheetProtection sheet="1" autoFilter="0"/>
  <mergeCells count="24">
    <mergeCell ref="B22:D22"/>
    <mergeCell ref="B7:E9"/>
    <mergeCell ref="F7:I9"/>
    <mergeCell ref="J7:M9"/>
    <mergeCell ref="B4:K4"/>
    <mergeCell ref="B6:E6"/>
    <mergeCell ref="F6:I6"/>
    <mergeCell ref="J6:M6"/>
    <mergeCell ref="B23:D23"/>
    <mergeCell ref="B2:M3"/>
    <mergeCell ref="D13:M13"/>
    <mergeCell ref="B11:M11"/>
    <mergeCell ref="B25:M28"/>
    <mergeCell ref="E23:M23"/>
    <mergeCell ref="E22:M22"/>
    <mergeCell ref="E21:M21"/>
    <mergeCell ref="E20:M20"/>
    <mergeCell ref="B19:M19"/>
    <mergeCell ref="D17:M17"/>
    <mergeCell ref="D16:M16"/>
    <mergeCell ref="D15:M15"/>
    <mergeCell ref="D14:M14"/>
    <mergeCell ref="B20:D20"/>
    <mergeCell ref="B21:D2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K18" sqref="K18"/>
    </sheetView>
  </sheetViews>
  <sheetFormatPr defaultColWidth="8.7109375" defaultRowHeight="15" x14ac:dyDescent="0.25"/>
  <cols>
    <col min="1" max="1" width="3" customWidth="1"/>
    <col min="2" max="2" width="26" customWidth="1"/>
    <col min="3" max="3" width="16" customWidth="1"/>
    <col min="4" max="4" width="20" customWidth="1"/>
    <col min="5" max="5" width="3" customWidth="1"/>
    <col min="6" max="6" width="22" customWidth="1"/>
  </cols>
  <sheetData>
    <row r="2" spans="2:6" ht="30" customHeight="1" x14ac:dyDescent="0.25">
      <c r="B2" s="56" t="s">
        <v>34</v>
      </c>
      <c r="C2" s="56"/>
      <c r="D2" s="56"/>
      <c r="F2" s="4" t="s">
        <v>35</v>
      </c>
    </row>
    <row r="3" spans="2:6" ht="25.5" customHeight="1" x14ac:dyDescent="0.25">
      <c r="B3" s="57" t="s">
        <v>36</v>
      </c>
      <c r="C3" s="57"/>
      <c r="D3" s="57"/>
      <c r="F3" s="5" t="s">
        <v>37</v>
      </c>
    </row>
    <row r="5" spans="2:6" ht="24" x14ac:dyDescent="0.25">
      <c r="B5" s="6" t="s">
        <v>38</v>
      </c>
      <c r="C5" s="6" t="s">
        <v>39</v>
      </c>
      <c r="D5" s="6" t="s">
        <v>40</v>
      </c>
      <c r="F5" s="6" t="s">
        <v>41</v>
      </c>
    </row>
    <row r="6" spans="2:6" x14ac:dyDescent="0.25">
      <c r="B6" s="7" t="s">
        <v>42</v>
      </c>
      <c r="C6" s="8" t="s">
        <v>43</v>
      </c>
      <c r="D6" s="9">
        <v>1</v>
      </c>
      <c r="F6" s="7" t="s">
        <v>44</v>
      </c>
    </row>
    <row r="7" spans="2:6" x14ac:dyDescent="0.25">
      <c r="B7" s="10" t="s">
        <v>45</v>
      </c>
      <c r="C7" s="11" t="s">
        <v>46</v>
      </c>
      <c r="D7" s="12">
        <v>6</v>
      </c>
      <c r="F7" s="10" t="s">
        <v>47</v>
      </c>
    </row>
    <row r="8" spans="2:6" x14ac:dyDescent="0.25">
      <c r="B8" s="7" t="s">
        <v>48</v>
      </c>
      <c r="C8" s="8" t="s">
        <v>49</v>
      </c>
      <c r="D8" s="9">
        <v>2</v>
      </c>
      <c r="F8" s="7"/>
    </row>
    <row r="9" spans="2:6" x14ac:dyDescent="0.25">
      <c r="B9" s="10" t="s">
        <v>50</v>
      </c>
      <c r="C9" s="11" t="s">
        <v>51</v>
      </c>
      <c r="D9" s="12">
        <v>2</v>
      </c>
      <c r="F9" s="10"/>
    </row>
    <row r="10" spans="2:6" x14ac:dyDescent="0.25">
      <c r="B10" s="7" t="s">
        <v>52</v>
      </c>
      <c r="C10" s="8" t="s">
        <v>53</v>
      </c>
      <c r="D10" s="9">
        <v>1.5</v>
      </c>
      <c r="F10" s="7"/>
    </row>
    <row r="11" spans="2:6" x14ac:dyDescent="0.25">
      <c r="B11" s="10" t="s">
        <v>126</v>
      </c>
      <c r="C11" s="11" t="s">
        <v>51</v>
      </c>
      <c r="D11" s="12">
        <v>2</v>
      </c>
      <c r="F11" s="10"/>
    </row>
    <row r="12" spans="2:6" x14ac:dyDescent="0.25">
      <c r="B12" s="7"/>
      <c r="C12" s="8"/>
      <c r="D12" s="9"/>
      <c r="F12" s="7"/>
    </row>
    <row r="13" spans="2:6" x14ac:dyDescent="0.25">
      <c r="B13" s="10"/>
      <c r="C13" s="11"/>
      <c r="D13" s="12"/>
      <c r="F13" s="10"/>
    </row>
    <row r="14" spans="2:6" x14ac:dyDescent="0.25">
      <c r="B14" s="7"/>
      <c r="C14" s="8"/>
      <c r="D14" s="9"/>
      <c r="F14" s="7"/>
    </row>
    <row r="15" spans="2:6" x14ac:dyDescent="0.25">
      <c r="B15" s="10"/>
      <c r="C15" s="11"/>
      <c r="D15" s="12"/>
      <c r="F15" s="10"/>
    </row>
    <row r="16" spans="2:6" x14ac:dyDescent="0.25">
      <c r="B16" s="7"/>
      <c r="C16" s="8"/>
      <c r="D16" s="9"/>
      <c r="F16" s="7"/>
    </row>
    <row r="17" spans="2:6" x14ac:dyDescent="0.25">
      <c r="B17" s="10"/>
      <c r="C17" s="11"/>
      <c r="D17" s="12"/>
      <c r="F17" s="10"/>
    </row>
    <row r="18" spans="2:6" x14ac:dyDescent="0.25">
      <c r="B18" s="7"/>
      <c r="C18" s="8"/>
      <c r="D18" s="9"/>
      <c r="F18" s="7"/>
    </row>
    <row r="19" spans="2:6" x14ac:dyDescent="0.25">
      <c r="B19" s="10"/>
      <c r="C19" s="11"/>
      <c r="D19" s="12"/>
      <c r="F19" s="10"/>
    </row>
    <row r="20" spans="2:6" x14ac:dyDescent="0.25">
      <c r="B20" s="7"/>
      <c r="C20" s="8"/>
      <c r="D20" s="9"/>
      <c r="F20" s="7"/>
    </row>
    <row r="21" spans="2:6" x14ac:dyDescent="0.25">
      <c r="B21" s="10"/>
      <c r="C21" s="11"/>
      <c r="D21" s="12"/>
      <c r="F21" s="10"/>
    </row>
    <row r="22" spans="2:6" x14ac:dyDescent="0.25">
      <c r="B22" s="7"/>
      <c r="C22" s="8"/>
      <c r="D22" s="9"/>
      <c r="F22" s="7"/>
    </row>
    <row r="23" spans="2:6" x14ac:dyDescent="0.25">
      <c r="B23" s="10"/>
      <c r="C23" s="11"/>
      <c r="D23" s="12"/>
      <c r="F23" s="10"/>
    </row>
    <row r="24" spans="2:6" x14ac:dyDescent="0.25">
      <c r="B24" s="7"/>
      <c r="C24" s="8"/>
      <c r="D24" s="9"/>
      <c r="F24" s="7"/>
    </row>
    <row r="25" spans="2:6" x14ac:dyDescent="0.25">
      <c r="B25" s="10"/>
      <c r="C25" s="11"/>
      <c r="D25" s="12"/>
      <c r="F25" s="10"/>
    </row>
    <row r="26" spans="2:6" x14ac:dyDescent="0.25">
      <c r="B26" s="7"/>
      <c r="C26" s="8"/>
      <c r="D26" s="9"/>
    </row>
    <row r="27" spans="2:6" x14ac:dyDescent="0.25">
      <c r="B27" s="10"/>
      <c r="C27" s="11"/>
      <c r="D27" s="12"/>
    </row>
    <row r="28" spans="2:6" x14ac:dyDescent="0.25">
      <c r="B28" s="7"/>
      <c r="C28" s="8"/>
      <c r="D28" s="9"/>
    </row>
    <row r="29" spans="2:6" x14ac:dyDescent="0.25">
      <c r="B29" s="10"/>
      <c r="C29" s="11"/>
      <c r="D29" s="12"/>
    </row>
    <row r="30" spans="2:6" x14ac:dyDescent="0.25">
      <c r="B30" s="7"/>
      <c r="C30" s="8"/>
      <c r="D30" s="9"/>
    </row>
    <row r="31" spans="2:6" x14ac:dyDescent="0.25">
      <c r="B31" s="10"/>
      <c r="C31" s="11"/>
      <c r="D31" s="12"/>
    </row>
    <row r="32" spans="2:6" x14ac:dyDescent="0.25">
      <c r="B32" s="7"/>
      <c r="C32" s="8"/>
      <c r="D32" s="9"/>
    </row>
    <row r="33" spans="2:4" x14ac:dyDescent="0.25">
      <c r="B33" s="10"/>
      <c r="C33" s="11"/>
      <c r="D33" s="12"/>
    </row>
    <row r="34" spans="2:4" x14ac:dyDescent="0.25">
      <c r="B34" s="7"/>
      <c r="C34" s="8"/>
      <c r="D34" s="9"/>
    </row>
    <row r="35" spans="2:4" x14ac:dyDescent="0.25">
      <c r="B35" s="10"/>
      <c r="C35" s="11"/>
      <c r="D35" s="12"/>
    </row>
    <row r="36" spans="2:4" x14ac:dyDescent="0.25">
      <c r="B36" s="7"/>
      <c r="C36" s="8"/>
      <c r="D36" s="9"/>
    </row>
    <row r="37" spans="2:4" x14ac:dyDescent="0.25">
      <c r="B37" s="10"/>
      <c r="C37" s="11"/>
      <c r="D37" s="12"/>
    </row>
    <row r="38" spans="2:4" x14ac:dyDescent="0.25">
      <c r="B38" s="7"/>
      <c r="C38" s="8"/>
      <c r="D38" s="9"/>
    </row>
    <row r="39" spans="2:4" x14ac:dyDescent="0.25">
      <c r="B39" s="10"/>
      <c r="C39" s="11"/>
      <c r="D39" s="12"/>
    </row>
    <row r="40" spans="2:4" x14ac:dyDescent="0.25">
      <c r="B40" s="7"/>
      <c r="C40" s="8"/>
      <c r="D40" s="9"/>
    </row>
    <row r="41" spans="2:4" x14ac:dyDescent="0.25">
      <c r="B41" s="10"/>
      <c r="C41" s="11"/>
      <c r="D41" s="12"/>
    </row>
    <row r="42" spans="2:4" x14ac:dyDescent="0.25">
      <c r="B42" s="7"/>
      <c r="C42" s="8"/>
      <c r="D42" s="9"/>
    </row>
    <row r="43" spans="2:4" x14ac:dyDescent="0.25">
      <c r="B43" s="10"/>
      <c r="C43" s="11"/>
      <c r="D43" s="12"/>
    </row>
    <row r="44" spans="2:4" x14ac:dyDescent="0.25">
      <c r="B44" s="7"/>
      <c r="C44" s="8"/>
      <c r="D44" s="9"/>
    </row>
    <row r="45" spans="2:4" x14ac:dyDescent="0.25">
      <c r="B45" s="10"/>
      <c r="C45" s="11"/>
      <c r="D45" s="12"/>
    </row>
    <row r="46" spans="2:4" x14ac:dyDescent="0.25">
      <c r="B46" s="7"/>
      <c r="C46" s="8"/>
      <c r="D46" s="9"/>
    </row>
    <row r="47" spans="2:4" x14ac:dyDescent="0.25">
      <c r="B47" s="10"/>
      <c r="C47" s="11"/>
      <c r="D47" s="12"/>
    </row>
    <row r="48" spans="2:4" x14ac:dyDescent="0.25">
      <c r="B48" s="7"/>
      <c r="C48" s="8"/>
      <c r="D48" s="9"/>
    </row>
    <row r="49" spans="2:4" x14ac:dyDescent="0.25">
      <c r="B49" s="10"/>
      <c r="C49" s="11"/>
      <c r="D49" s="12"/>
    </row>
    <row r="50" spans="2:4" x14ac:dyDescent="0.25">
      <c r="B50" s="7"/>
      <c r="C50" s="8"/>
      <c r="D50" s="9"/>
    </row>
    <row r="51" spans="2:4" x14ac:dyDescent="0.25">
      <c r="B51" s="10"/>
      <c r="C51" s="11"/>
      <c r="D51" s="12"/>
    </row>
    <row r="52" spans="2:4" x14ac:dyDescent="0.25">
      <c r="B52" s="7"/>
      <c r="C52" s="8"/>
      <c r="D52" s="9"/>
    </row>
    <row r="53" spans="2:4" x14ac:dyDescent="0.25">
      <c r="B53" s="10"/>
      <c r="C53" s="11"/>
      <c r="D53" s="12"/>
    </row>
    <row r="54" spans="2:4" x14ac:dyDescent="0.25">
      <c r="B54" s="7"/>
      <c r="C54" s="8"/>
      <c r="D54" s="9"/>
    </row>
    <row r="55" spans="2:4" x14ac:dyDescent="0.25">
      <c r="B55" s="10"/>
      <c r="C55" s="11"/>
      <c r="D55" s="12"/>
    </row>
    <row r="56" spans="2:4" x14ac:dyDescent="0.25">
      <c r="B56" s="7"/>
      <c r="C56" s="8"/>
      <c r="D56" s="9"/>
    </row>
    <row r="57" spans="2:4" x14ac:dyDescent="0.25">
      <c r="B57" s="10"/>
      <c r="C57" s="11"/>
      <c r="D57" s="12"/>
    </row>
    <row r="58" spans="2:4" x14ac:dyDescent="0.25">
      <c r="B58" s="7"/>
      <c r="C58" s="8"/>
      <c r="D58" s="9"/>
    </row>
    <row r="59" spans="2:4" x14ac:dyDescent="0.25">
      <c r="B59" s="10"/>
      <c r="C59" s="11"/>
      <c r="D59" s="12"/>
    </row>
    <row r="60" spans="2:4" x14ac:dyDescent="0.25">
      <c r="B60" s="7"/>
      <c r="C60" s="8"/>
      <c r="D60" s="9"/>
    </row>
    <row r="61" spans="2:4" x14ac:dyDescent="0.25">
      <c r="B61" s="10"/>
      <c r="C61" s="11"/>
      <c r="D61" s="12"/>
    </row>
    <row r="62" spans="2:4" x14ac:dyDescent="0.25">
      <c r="B62" s="7"/>
      <c r="C62" s="8"/>
      <c r="D62" s="9"/>
    </row>
    <row r="63" spans="2:4" x14ac:dyDescent="0.25">
      <c r="B63" s="10"/>
      <c r="C63" s="11"/>
      <c r="D63" s="12"/>
    </row>
    <row r="64" spans="2:4" x14ac:dyDescent="0.25">
      <c r="B64" s="7"/>
      <c r="C64" s="8"/>
      <c r="D64" s="9"/>
    </row>
    <row r="65" spans="2:4" x14ac:dyDescent="0.25">
      <c r="B65" s="10"/>
      <c r="C65" s="11"/>
      <c r="D65" s="12"/>
    </row>
  </sheetData>
  <sheetProtection sheet="1" autoFilter="0"/>
  <mergeCells count="2">
    <mergeCell ref="B2:D2"/>
    <mergeCell ref="B3:D3"/>
  </mergeCells>
  <conditionalFormatting sqref="B6:B65">
    <cfRule type="expression" dxfId="40" priority="2">
      <formula>AND(B6&lt;&gt;"",COUNTIF($B$6:$B$65,B6)&gt;1)</formula>
    </cfRule>
  </conditionalFormatting>
  <conditionalFormatting sqref="F6:F25">
    <cfRule type="expression" dxfId="39" priority="3">
      <formula>AND(F6&lt;&gt;"",COUNTIF($F$6:$F$25,F6)&gt;1)</formula>
    </cfRule>
  </conditionalFormatting>
  <dataValidations count="1">
    <dataValidation type="list" allowBlank="1" showErrorMessage="1" errorTitle="Categoria inválida" error="Escolha uma categoria da lista suspensa." sqref="C6:C65" xr:uid="{00000000-0002-0000-0100-000000000000}">
      <formula1>"Hortifruti,Carnes,Laticínios,Padaria,Mercearia,Limpeza,Higiene,Bebidas,Congelados,Outros"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7109375" defaultRowHeight="15" x14ac:dyDescent="0.25"/>
  <cols>
    <col min="1" max="1" width="3" customWidth="1"/>
    <col min="2" max="2" width="22" customWidth="1"/>
    <col min="3" max="3" width="14" customWidth="1"/>
    <col min="4" max="4" width="11" customWidth="1"/>
    <col min="5" max="5" width="13" customWidth="1"/>
    <col min="6" max="6" width="16" customWidth="1"/>
    <col min="7" max="7" width="15" customWidth="1"/>
    <col min="8" max="8" width="13" customWidth="1"/>
    <col min="9" max="9" width="14" customWidth="1"/>
    <col min="10" max="10" width="12" customWidth="1"/>
  </cols>
  <sheetData>
    <row r="2" spans="2:10" ht="27.75" customHeight="1" x14ac:dyDescent="0.25">
      <c r="B2" s="58" t="s">
        <v>54</v>
      </c>
      <c r="C2" s="58"/>
      <c r="D2" s="58"/>
      <c r="E2" s="58"/>
      <c r="F2" s="58"/>
      <c r="G2" s="58"/>
      <c r="H2" s="58"/>
      <c r="I2" s="58"/>
      <c r="J2" s="58"/>
    </row>
    <row r="3" spans="2:10" ht="19.5" customHeight="1" x14ac:dyDescent="0.25">
      <c r="B3" s="57" t="s">
        <v>55</v>
      </c>
      <c r="C3" s="57"/>
      <c r="D3" s="57"/>
      <c r="E3" s="57"/>
      <c r="F3" s="57"/>
      <c r="G3" s="57"/>
      <c r="H3" s="57"/>
      <c r="I3" s="57"/>
      <c r="J3" s="57"/>
    </row>
    <row r="5" spans="2:10" ht="24" x14ac:dyDescent="0.25">
      <c r="B5" s="6" t="s">
        <v>38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61</v>
      </c>
      <c r="I5" s="6" t="s">
        <v>62</v>
      </c>
      <c r="J5" s="6" t="s">
        <v>63</v>
      </c>
    </row>
    <row r="6" spans="2:10" x14ac:dyDescent="0.25">
      <c r="B6" s="7"/>
      <c r="C6" s="13" t="str">
        <f>IF(B6="","",IFERROR(VLOOKUP(B6,'Cadastro de Produtos'!$B:$C,2,0),""))</f>
        <v/>
      </c>
      <c r="D6" s="9"/>
      <c r="E6" s="14"/>
      <c r="F6" s="7"/>
      <c r="G6" s="14"/>
      <c r="H6" s="15" t="str">
        <f t="shared" ref="H6:H37" si="0">IF(B6="","",IF(OR(E6="",G6="",G6=0),"",(E6-G6)/G6))</f>
        <v/>
      </c>
      <c r="I6" s="16" t="str">
        <f t="shared" ref="I6:I37" si="1">IF(B6="","",IF(D6="","",D6*E6))</f>
        <v/>
      </c>
      <c r="J6" s="8"/>
    </row>
    <row r="7" spans="2:10" x14ac:dyDescent="0.25">
      <c r="B7" s="10"/>
      <c r="C7" s="17" t="str">
        <f>IF(B7="","",IFERROR(VLOOKUP(B7,'Cadastro de Produtos'!$B:$C,2,0),""))</f>
        <v/>
      </c>
      <c r="D7" s="12"/>
      <c r="E7" s="18"/>
      <c r="F7" s="10"/>
      <c r="G7" s="18"/>
      <c r="H7" s="19" t="str">
        <f t="shared" si="0"/>
        <v/>
      </c>
      <c r="I7" s="20" t="str">
        <f t="shared" si="1"/>
        <v/>
      </c>
      <c r="J7" s="11"/>
    </row>
    <row r="8" spans="2:10" x14ac:dyDescent="0.25">
      <c r="B8" s="7"/>
      <c r="C8" s="13" t="str">
        <f>IF(B8="","",IFERROR(VLOOKUP(B8,'Cadastro de Produtos'!$B:$C,2,0),""))</f>
        <v/>
      </c>
      <c r="D8" s="9"/>
      <c r="E8" s="14"/>
      <c r="F8" s="7"/>
      <c r="G8" s="14"/>
      <c r="H8" s="15" t="str">
        <f t="shared" si="0"/>
        <v/>
      </c>
      <c r="I8" s="16" t="str">
        <f t="shared" si="1"/>
        <v/>
      </c>
      <c r="J8" s="8"/>
    </row>
    <row r="9" spans="2:10" x14ac:dyDescent="0.25">
      <c r="B9" s="10"/>
      <c r="C9" s="17" t="str">
        <f>IF(B9="","",IFERROR(VLOOKUP(B9,'Cadastro de Produtos'!$B:$C,2,0),""))</f>
        <v/>
      </c>
      <c r="D9" s="12"/>
      <c r="E9" s="18"/>
      <c r="F9" s="10"/>
      <c r="G9" s="18"/>
      <c r="H9" s="19" t="str">
        <f t="shared" si="0"/>
        <v/>
      </c>
      <c r="I9" s="20" t="str">
        <f t="shared" si="1"/>
        <v/>
      </c>
      <c r="J9" s="11"/>
    </row>
    <row r="10" spans="2:10" x14ac:dyDescent="0.25">
      <c r="B10" s="7"/>
      <c r="C10" s="13" t="str">
        <f>IF(B10="","",IFERROR(VLOOKUP(B10,'Cadastro de Produtos'!$B:$C,2,0),""))</f>
        <v/>
      </c>
      <c r="D10" s="9"/>
      <c r="E10" s="14"/>
      <c r="F10" s="7"/>
      <c r="G10" s="14"/>
      <c r="H10" s="15" t="str">
        <f t="shared" si="0"/>
        <v/>
      </c>
      <c r="I10" s="16" t="str">
        <f t="shared" si="1"/>
        <v/>
      </c>
      <c r="J10" s="8"/>
    </row>
    <row r="11" spans="2:10" x14ac:dyDescent="0.25">
      <c r="B11" s="10"/>
      <c r="C11" s="17" t="str">
        <f>IF(B11="","",IFERROR(VLOOKUP(B11,'Cadastro de Produtos'!$B:$C,2,0),""))</f>
        <v/>
      </c>
      <c r="D11" s="12"/>
      <c r="E11" s="18"/>
      <c r="F11" s="10"/>
      <c r="G11" s="18"/>
      <c r="H11" s="19" t="str">
        <f t="shared" si="0"/>
        <v/>
      </c>
      <c r="I11" s="20" t="str">
        <f t="shared" si="1"/>
        <v/>
      </c>
      <c r="J11" s="11"/>
    </row>
    <row r="12" spans="2:10" x14ac:dyDescent="0.25">
      <c r="B12" s="7"/>
      <c r="C12" s="13" t="str">
        <f>IF(B12="","",IFERROR(VLOOKUP(B12,'Cadastro de Produtos'!$B:$C,2,0),""))</f>
        <v/>
      </c>
      <c r="D12" s="9"/>
      <c r="E12" s="14"/>
      <c r="F12" s="7"/>
      <c r="G12" s="14"/>
      <c r="H12" s="15" t="str">
        <f t="shared" si="0"/>
        <v/>
      </c>
      <c r="I12" s="16" t="str">
        <f t="shared" si="1"/>
        <v/>
      </c>
      <c r="J12" s="8"/>
    </row>
    <row r="13" spans="2:10" x14ac:dyDescent="0.25">
      <c r="B13" s="10"/>
      <c r="C13" s="17" t="str">
        <f>IF(B13="","",IFERROR(VLOOKUP(B13,'Cadastro de Produtos'!$B:$C,2,0),""))</f>
        <v/>
      </c>
      <c r="D13" s="12"/>
      <c r="E13" s="18"/>
      <c r="F13" s="10"/>
      <c r="G13" s="18"/>
      <c r="H13" s="19" t="str">
        <f t="shared" si="0"/>
        <v/>
      </c>
      <c r="I13" s="20" t="str">
        <f t="shared" si="1"/>
        <v/>
      </c>
      <c r="J13" s="11"/>
    </row>
    <row r="14" spans="2:10" x14ac:dyDescent="0.25">
      <c r="B14" s="7"/>
      <c r="C14" s="13" t="str">
        <f>IF(B14="","",IFERROR(VLOOKUP(B14,'Cadastro de Produtos'!$B:$C,2,0),""))</f>
        <v/>
      </c>
      <c r="D14" s="9"/>
      <c r="E14" s="14"/>
      <c r="F14" s="7"/>
      <c r="G14" s="14"/>
      <c r="H14" s="15" t="str">
        <f t="shared" si="0"/>
        <v/>
      </c>
      <c r="I14" s="16" t="str">
        <f t="shared" si="1"/>
        <v/>
      </c>
      <c r="J14" s="8"/>
    </row>
    <row r="15" spans="2:10" x14ac:dyDescent="0.25">
      <c r="B15" s="10"/>
      <c r="C15" s="17" t="str">
        <f>IF(B15="","",IFERROR(VLOOKUP(B15,'Cadastro de Produtos'!$B:$C,2,0),""))</f>
        <v/>
      </c>
      <c r="D15" s="12"/>
      <c r="E15" s="18"/>
      <c r="F15" s="10"/>
      <c r="G15" s="18"/>
      <c r="H15" s="19" t="str">
        <f t="shared" si="0"/>
        <v/>
      </c>
      <c r="I15" s="20" t="str">
        <f t="shared" si="1"/>
        <v/>
      </c>
      <c r="J15" s="11"/>
    </row>
    <row r="16" spans="2:10" x14ac:dyDescent="0.25">
      <c r="B16" s="7"/>
      <c r="C16" s="13" t="str">
        <f>IF(B16="","",IFERROR(VLOOKUP(B16,'Cadastro de Produtos'!$B:$C,2,0),""))</f>
        <v/>
      </c>
      <c r="D16" s="9"/>
      <c r="E16" s="14"/>
      <c r="F16" s="7"/>
      <c r="G16" s="14"/>
      <c r="H16" s="15" t="str">
        <f t="shared" si="0"/>
        <v/>
      </c>
      <c r="I16" s="16" t="str">
        <f t="shared" si="1"/>
        <v/>
      </c>
      <c r="J16" s="8"/>
    </row>
    <row r="17" spans="2:10" x14ac:dyDescent="0.25">
      <c r="B17" s="10"/>
      <c r="C17" s="17" t="str">
        <f>IF(B17="","",IFERROR(VLOOKUP(B17,'Cadastro de Produtos'!$B:$C,2,0),""))</f>
        <v/>
      </c>
      <c r="D17" s="12"/>
      <c r="E17" s="18"/>
      <c r="F17" s="10"/>
      <c r="G17" s="18"/>
      <c r="H17" s="19" t="str">
        <f t="shared" si="0"/>
        <v/>
      </c>
      <c r="I17" s="20" t="str">
        <f t="shared" si="1"/>
        <v/>
      </c>
      <c r="J17" s="11"/>
    </row>
    <row r="18" spans="2:10" x14ac:dyDescent="0.25">
      <c r="B18" s="7"/>
      <c r="C18" s="13" t="str">
        <f>IF(B18="","",IFERROR(VLOOKUP(B18,'Cadastro de Produtos'!$B:$C,2,0),""))</f>
        <v/>
      </c>
      <c r="D18" s="9"/>
      <c r="E18" s="14"/>
      <c r="F18" s="7"/>
      <c r="G18" s="14"/>
      <c r="H18" s="15" t="str">
        <f t="shared" si="0"/>
        <v/>
      </c>
      <c r="I18" s="16" t="str">
        <f t="shared" si="1"/>
        <v/>
      </c>
      <c r="J18" s="8"/>
    </row>
    <row r="19" spans="2:10" x14ac:dyDescent="0.25">
      <c r="B19" s="10"/>
      <c r="C19" s="17" t="str">
        <f>IF(B19="","",IFERROR(VLOOKUP(B19,'Cadastro de Produtos'!$B:$C,2,0),""))</f>
        <v/>
      </c>
      <c r="D19" s="12"/>
      <c r="E19" s="18"/>
      <c r="F19" s="10"/>
      <c r="G19" s="18"/>
      <c r="H19" s="19" t="str">
        <f t="shared" si="0"/>
        <v/>
      </c>
      <c r="I19" s="20" t="str">
        <f t="shared" si="1"/>
        <v/>
      </c>
      <c r="J19" s="11"/>
    </row>
    <row r="20" spans="2:10" x14ac:dyDescent="0.25">
      <c r="B20" s="7"/>
      <c r="C20" s="13" t="str">
        <f>IF(B20="","",IFERROR(VLOOKUP(B20,'Cadastro de Produtos'!$B:$C,2,0),""))</f>
        <v/>
      </c>
      <c r="D20" s="9"/>
      <c r="E20" s="14"/>
      <c r="F20" s="7"/>
      <c r="G20" s="14"/>
      <c r="H20" s="15" t="str">
        <f t="shared" si="0"/>
        <v/>
      </c>
      <c r="I20" s="16" t="str">
        <f t="shared" si="1"/>
        <v/>
      </c>
      <c r="J20" s="8"/>
    </row>
    <row r="21" spans="2:10" x14ac:dyDescent="0.25">
      <c r="B21" s="10"/>
      <c r="C21" s="17" t="str">
        <f>IF(B21="","",IFERROR(VLOOKUP(B21,'Cadastro de Produtos'!$B:$C,2,0),""))</f>
        <v/>
      </c>
      <c r="D21" s="12"/>
      <c r="E21" s="18"/>
      <c r="F21" s="10"/>
      <c r="G21" s="18"/>
      <c r="H21" s="19" t="str">
        <f t="shared" si="0"/>
        <v/>
      </c>
      <c r="I21" s="20" t="str">
        <f t="shared" si="1"/>
        <v/>
      </c>
      <c r="J21" s="11"/>
    </row>
    <row r="22" spans="2:10" x14ac:dyDescent="0.25">
      <c r="B22" s="7"/>
      <c r="C22" s="13" t="str">
        <f>IF(B22="","",IFERROR(VLOOKUP(B22,'Cadastro de Produtos'!$B:$C,2,0),""))</f>
        <v/>
      </c>
      <c r="D22" s="9"/>
      <c r="E22" s="14"/>
      <c r="F22" s="7"/>
      <c r="G22" s="14"/>
      <c r="H22" s="15" t="str">
        <f t="shared" si="0"/>
        <v/>
      </c>
      <c r="I22" s="16" t="str">
        <f t="shared" si="1"/>
        <v/>
      </c>
      <c r="J22" s="8"/>
    </row>
    <row r="23" spans="2:10" x14ac:dyDescent="0.25">
      <c r="B23" s="10"/>
      <c r="C23" s="17" t="str">
        <f>IF(B23="","",IFERROR(VLOOKUP(B23,'Cadastro de Produtos'!$B:$C,2,0),""))</f>
        <v/>
      </c>
      <c r="D23" s="12"/>
      <c r="E23" s="18"/>
      <c r="F23" s="10"/>
      <c r="G23" s="18"/>
      <c r="H23" s="19" t="str">
        <f t="shared" si="0"/>
        <v/>
      </c>
      <c r="I23" s="20" t="str">
        <f t="shared" si="1"/>
        <v/>
      </c>
      <c r="J23" s="11"/>
    </row>
    <row r="24" spans="2:10" x14ac:dyDescent="0.25">
      <c r="B24" s="7"/>
      <c r="C24" s="13" t="str">
        <f>IF(B24="","",IFERROR(VLOOKUP(B24,'Cadastro de Produtos'!$B:$C,2,0),""))</f>
        <v/>
      </c>
      <c r="D24" s="9"/>
      <c r="E24" s="14"/>
      <c r="F24" s="7"/>
      <c r="G24" s="14"/>
      <c r="H24" s="15" t="str">
        <f t="shared" si="0"/>
        <v/>
      </c>
      <c r="I24" s="16" t="str">
        <f t="shared" si="1"/>
        <v/>
      </c>
      <c r="J24" s="8"/>
    </row>
    <row r="25" spans="2:10" x14ac:dyDescent="0.25">
      <c r="B25" s="10"/>
      <c r="C25" s="17" t="str">
        <f>IF(B25="","",IFERROR(VLOOKUP(B25,'Cadastro de Produtos'!$B:$C,2,0),""))</f>
        <v/>
      </c>
      <c r="D25" s="12"/>
      <c r="E25" s="18"/>
      <c r="F25" s="10"/>
      <c r="G25" s="18"/>
      <c r="H25" s="19" t="str">
        <f t="shared" si="0"/>
        <v/>
      </c>
      <c r="I25" s="20" t="str">
        <f t="shared" si="1"/>
        <v/>
      </c>
      <c r="J25" s="11"/>
    </row>
    <row r="26" spans="2:10" x14ac:dyDescent="0.25">
      <c r="B26" s="7"/>
      <c r="C26" s="13" t="str">
        <f>IF(B26="","",IFERROR(VLOOKUP(B26,'Cadastro de Produtos'!$B:$C,2,0),""))</f>
        <v/>
      </c>
      <c r="D26" s="9"/>
      <c r="E26" s="14"/>
      <c r="F26" s="7"/>
      <c r="G26" s="14"/>
      <c r="H26" s="15" t="str">
        <f t="shared" si="0"/>
        <v/>
      </c>
      <c r="I26" s="16" t="str">
        <f t="shared" si="1"/>
        <v/>
      </c>
      <c r="J26" s="8"/>
    </row>
    <row r="27" spans="2:10" x14ac:dyDescent="0.25">
      <c r="B27" s="10"/>
      <c r="C27" s="17" t="str">
        <f>IF(B27="","",IFERROR(VLOOKUP(B27,'Cadastro de Produtos'!$B:$C,2,0),""))</f>
        <v/>
      </c>
      <c r="D27" s="12"/>
      <c r="E27" s="18"/>
      <c r="F27" s="10"/>
      <c r="G27" s="18"/>
      <c r="H27" s="19" t="str">
        <f t="shared" si="0"/>
        <v/>
      </c>
      <c r="I27" s="20" t="str">
        <f t="shared" si="1"/>
        <v/>
      </c>
      <c r="J27" s="11"/>
    </row>
    <row r="28" spans="2:10" x14ac:dyDescent="0.25">
      <c r="B28" s="7"/>
      <c r="C28" s="13" t="str">
        <f>IF(B28="","",IFERROR(VLOOKUP(B28,'Cadastro de Produtos'!$B:$C,2,0),""))</f>
        <v/>
      </c>
      <c r="D28" s="9"/>
      <c r="E28" s="14"/>
      <c r="F28" s="7"/>
      <c r="G28" s="14"/>
      <c r="H28" s="15" t="str">
        <f t="shared" si="0"/>
        <v/>
      </c>
      <c r="I28" s="16" t="str">
        <f t="shared" si="1"/>
        <v/>
      </c>
      <c r="J28" s="8"/>
    </row>
    <row r="29" spans="2:10" x14ac:dyDescent="0.25">
      <c r="B29" s="10"/>
      <c r="C29" s="17" t="str">
        <f>IF(B29="","",IFERROR(VLOOKUP(B29,'Cadastro de Produtos'!$B:$C,2,0),""))</f>
        <v/>
      </c>
      <c r="D29" s="12"/>
      <c r="E29" s="18"/>
      <c r="F29" s="10"/>
      <c r="G29" s="18"/>
      <c r="H29" s="19" t="str">
        <f t="shared" si="0"/>
        <v/>
      </c>
      <c r="I29" s="20" t="str">
        <f t="shared" si="1"/>
        <v/>
      </c>
      <c r="J29" s="11"/>
    </row>
    <row r="30" spans="2:10" x14ac:dyDescent="0.25">
      <c r="B30" s="7"/>
      <c r="C30" s="13" t="str">
        <f>IF(B30="","",IFERROR(VLOOKUP(B30,'Cadastro de Produtos'!$B:$C,2,0),""))</f>
        <v/>
      </c>
      <c r="D30" s="9"/>
      <c r="E30" s="14"/>
      <c r="F30" s="7"/>
      <c r="G30" s="14"/>
      <c r="H30" s="15" t="str">
        <f t="shared" si="0"/>
        <v/>
      </c>
      <c r="I30" s="16" t="str">
        <f t="shared" si="1"/>
        <v/>
      </c>
      <c r="J30" s="8"/>
    </row>
    <row r="31" spans="2:10" x14ac:dyDescent="0.25">
      <c r="B31" s="10"/>
      <c r="C31" s="17" t="str">
        <f>IF(B31="","",IFERROR(VLOOKUP(B31,'Cadastro de Produtos'!$B:$C,2,0),""))</f>
        <v/>
      </c>
      <c r="D31" s="12"/>
      <c r="E31" s="18"/>
      <c r="F31" s="10"/>
      <c r="G31" s="18"/>
      <c r="H31" s="19" t="str">
        <f t="shared" si="0"/>
        <v/>
      </c>
      <c r="I31" s="20" t="str">
        <f t="shared" si="1"/>
        <v/>
      </c>
      <c r="J31" s="11"/>
    </row>
    <row r="32" spans="2:10" x14ac:dyDescent="0.25">
      <c r="B32" s="7"/>
      <c r="C32" s="13" t="str">
        <f>IF(B32="","",IFERROR(VLOOKUP(B32,'Cadastro de Produtos'!$B:$C,2,0),""))</f>
        <v/>
      </c>
      <c r="D32" s="9"/>
      <c r="E32" s="14"/>
      <c r="F32" s="7"/>
      <c r="G32" s="14"/>
      <c r="H32" s="15" t="str">
        <f t="shared" si="0"/>
        <v/>
      </c>
      <c r="I32" s="16" t="str">
        <f t="shared" si="1"/>
        <v/>
      </c>
      <c r="J32" s="8"/>
    </row>
    <row r="33" spans="2:10" x14ac:dyDescent="0.25">
      <c r="B33" s="10"/>
      <c r="C33" s="17" t="str">
        <f>IF(B33="","",IFERROR(VLOOKUP(B33,'Cadastro de Produtos'!$B:$C,2,0),""))</f>
        <v/>
      </c>
      <c r="D33" s="12"/>
      <c r="E33" s="18"/>
      <c r="F33" s="10"/>
      <c r="G33" s="18"/>
      <c r="H33" s="19" t="str">
        <f t="shared" si="0"/>
        <v/>
      </c>
      <c r="I33" s="20" t="str">
        <f t="shared" si="1"/>
        <v/>
      </c>
      <c r="J33" s="11"/>
    </row>
    <row r="34" spans="2:10" x14ac:dyDescent="0.25">
      <c r="B34" s="7"/>
      <c r="C34" s="13" t="str">
        <f>IF(B34="","",IFERROR(VLOOKUP(B34,'Cadastro de Produtos'!$B:$C,2,0),""))</f>
        <v/>
      </c>
      <c r="D34" s="9"/>
      <c r="E34" s="14"/>
      <c r="F34" s="7"/>
      <c r="G34" s="14"/>
      <c r="H34" s="15" t="str">
        <f t="shared" si="0"/>
        <v/>
      </c>
      <c r="I34" s="16" t="str">
        <f t="shared" si="1"/>
        <v/>
      </c>
      <c r="J34" s="8"/>
    </row>
    <row r="35" spans="2:10" x14ac:dyDescent="0.25">
      <c r="B35" s="10"/>
      <c r="C35" s="17" t="str">
        <f>IF(B35="","",IFERROR(VLOOKUP(B35,'Cadastro de Produtos'!$B:$C,2,0),""))</f>
        <v/>
      </c>
      <c r="D35" s="12"/>
      <c r="E35" s="18"/>
      <c r="F35" s="10"/>
      <c r="G35" s="18"/>
      <c r="H35" s="19" t="str">
        <f t="shared" si="0"/>
        <v/>
      </c>
      <c r="I35" s="20" t="str">
        <f t="shared" si="1"/>
        <v/>
      </c>
      <c r="J35" s="11"/>
    </row>
    <row r="36" spans="2:10" x14ac:dyDescent="0.25">
      <c r="B36" s="7"/>
      <c r="C36" s="13" t="str">
        <f>IF(B36="","",IFERROR(VLOOKUP(B36,'Cadastro de Produtos'!$B:$C,2,0),""))</f>
        <v/>
      </c>
      <c r="D36" s="9"/>
      <c r="E36" s="14"/>
      <c r="F36" s="7"/>
      <c r="G36" s="14"/>
      <c r="H36" s="15" t="str">
        <f t="shared" si="0"/>
        <v/>
      </c>
      <c r="I36" s="16" t="str">
        <f t="shared" si="1"/>
        <v/>
      </c>
      <c r="J36" s="8"/>
    </row>
    <row r="37" spans="2:10" x14ac:dyDescent="0.25">
      <c r="B37" s="10"/>
      <c r="C37" s="17" t="str">
        <f>IF(B37="","",IFERROR(VLOOKUP(B37,'Cadastro de Produtos'!$B:$C,2,0),""))</f>
        <v/>
      </c>
      <c r="D37" s="12"/>
      <c r="E37" s="18"/>
      <c r="F37" s="10"/>
      <c r="G37" s="18"/>
      <c r="H37" s="19" t="str">
        <f t="shared" si="0"/>
        <v/>
      </c>
      <c r="I37" s="20" t="str">
        <f t="shared" si="1"/>
        <v/>
      </c>
      <c r="J37" s="11"/>
    </row>
    <row r="38" spans="2:10" x14ac:dyDescent="0.25">
      <c r="B38" s="7"/>
      <c r="C38" s="13" t="str">
        <f>IF(B38="","",IFERROR(VLOOKUP(B38,'Cadastro de Produtos'!$B:$C,2,0),""))</f>
        <v/>
      </c>
      <c r="D38" s="9"/>
      <c r="E38" s="14"/>
      <c r="F38" s="7"/>
      <c r="G38" s="14"/>
      <c r="H38" s="15" t="str">
        <f t="shared" ref="H38:H65" si="2">IF(B38="","",IF(OR(E38="",G38="",G38=0),"",(E38-G38)/G38))</f>
        <v/>
      </c>
      <c r="I38" s="16" t="str">
        <f t="shared" ref="I38:I65" si="3">IF(B38="","",IF(D38="","",D38*E38))</f>
        <v/>
      </c>
      <c r="J38" s="8"/>
    </row>
    <row r="39" spans="2:10" x14ac:dyDescent="0.25">
      <c r="B39" s="10"/>
      <c r="C39" s="17" t="str">
        <f>IF(B39="","",IFERROR(VLOOKUP(B39,'Cadastro de Produtos'!$B:$C,2,0),""))</f>
        <v/>
      </c>
      <c r="D39" s="12"/>
      <c r="E39" s="18"/>
      <c r="F39" s="10"/>
      <c r="G39" s="18"/>
      <c r="H39" s="19" t="str">
        <f t="shared" si="2"/>
        <v/>
      </c>
      <c r="I39" s="20" t="str">
        <f t="shared" si="3"/>
        <v/>
      </c>
      <c r="J39" s="11"/>
    </row>
    <row r="40" spans="2:10" x14ac:dyDescent="0.25">
      <c r="B40" s="7"/>
      <c r="C40" s="13" t="str">
        <f>IF(B40="","",IFERROR(VLOOKUP(B40,'Cadastro de Produtos'!$B:$C,2,0),""))</f>
        <v/>
      </c>
      <c r="D40" s="9"/>
      <c r="E40" s="14"/>
      <c r="F40" s="7"/>
      <c r="G40" s="14"/>
      <c r="H40" s="15" t="str">
        <f t="shared" si="2"/>
        <v/>
      </c>
      <c r="I40" s="16" t="str">
        <f t="shared" si="3"/>
        <v/>
      </c>
      <c r="J40" s="8"/>
    </row>
    <row r="41" spans="2:10" x14ac:dyDescent="0.25">
      <c r="B41" s="10"/>
      <c r="C41" s="17" t="str">
        <f>IF(B41="","",IFERROR(VLOOKUP(B41,'Cadastro de Produtos'!$B:$C,2,0),""))</f>
        <v/>
      </c>
      <c r="D41" s="12"/>
      <c r="E41" s="18"/>
      <c r="F41" s="10"/>
      <c r="G41" s="18"/>
      <c r="H41" s="19" t="str">
        <f t="shared" si="2"/>
        <v/>
      </c>
      <c r="I41" s="20" t="str">
        <f t="shared" si="3"/>
        <v/>
      </c>
      <c r="J41" s="11"/>
    </row>
    <row r="42" spans="2:10" x14ac:dyDescent="0.25">
      <c r="B42" s="7"/>
      <c r="C42" s="13" t="str">
        <f>IF(B42="","",IFERROR(VLOOKUP(B42,'Cadastro de Produtos'!$B:$C,2,0),""))</f>
        <v/>
      </c>
      <c r="D42" s="9"/>
      <c r="E42" s="14"/>
      <c r="F42" s="7"/>
      <c r="G42" s="14"/>
      <c r="H42" s="15" t="str">
        <f t="shared" si="2"/>
        <v/>
      </c>
      <c r="I42" s="16" t="str">
        <f t="shared" si="3"/>
        <v/>
      </c>
      <c r="J42" s="8"/>
    </row>
    <row r="43" spans="2:10" x14ac:dyDescent="0.25">
      <c r="B43" s="10"/>
      <c r="C43" s="17" t="str">
        <f>IF(B43="","",IFERROR(VLOOKUP(B43,'Cadastro de Produtos'!$B:$C,2,0),""))</f>
        <v/>
      </c>
      <c r="D43" s="12"/>
      <c r="E43" s="18"/>
      <c r="F43" s="10"/>
      <c r="G43" s="18"/>
      <c r="H43" s="19" t="str">
        <f t="shared" si="2"/>
        <v/>
      </c>
      <c r="I43" s="20" t="str">
        <f t="shared" si="3"/>
        <v/>
      </c>
      <c r="J43" s="11"/>
    </row>
    <row r="44" spans="2:10" x14ac:dyDescent="0.25">
      <c r="B44" s="7"/>
      <c r="C44" s="13" t="str">
        <f>IF(B44="","",IFERROR(VLOOKUP(B44,'Cadastro de Produtos'!$B:$C,2,0),""))</f>
        <v/>
      </c>
      <c r="D44" s="9"/>
      <c r="E44" s="14"/>
      <c r="F44" s="7"/>
      <c r="G44" s="14"/>
      <c r="H44" s="15" t="str">
        <f t="shared" si="2"/>
        <v/>
      </c>
      <c r="I44" s="16" t="str">
        <f t="shared" si="3"/>
        <v/>
      </c>
      <c r="J44" s="8"/>
    </row>
    <row r="45" spans="2:10" x14ac:dyDescent="0.25">
      <c r="B45" s="10"/>
      <c r="C45" s="17" t="str">
        <f>IF(B45="","",IFERROR(VLOOKUP(B45,'Cadastro de Produtos'!$B:$C,2,0),""))</f>
        <v/>
      </c>
      <c r="D45" s="12"/>
      <c r="E45" s="18"/>
      <c r="F45" s="10"/>
      <c r="G45" s="18"/>
      <c r="H45" s="19" t="str">
        <f t="shared" si="2"/>
        <v/>
      </c>
      <c r="I45" s="20" t="str">
        <f t="shared" si="3"/>
        <v/>
      </c>
      <c r="J45" s="11"/>
    </row>
    <row r="46" spans="2:10" x14ac:dyDescent="0.25">
      <c r="B46" s="7"/>
      <c r="C46" s="13" t="str">
        <f>IF(B46="","",IFERROR(VLOOKUP(B46,'Cadastro de Produtos'!$B:$C,2,0),""))</f>
        <v/>
      </c>
      <c r="D46" s="9"/>
      <c r="E46" s="14"/>
      <c r="F46" s="7"/>
      <c r="G46" s="14"/>
      <c r="H46" s="15" t="str">
        <f t="shared" si="2"/>
        <v/>
      </c>
      <c r="I46" s="16" t="str">
        <f t="shared" si="3"/>
        <v/>
      </c>
      <c r="J46" s="8"/>
    </row>
    <row r="47" spans="2:10" x14ac:dyDescent="0.25">
      <c r="B47" s="10"/>
      <c r="C47" s="17" t="str">
        <f>IF(B47="","",IFERROR(VLOOKUP(B47,'Cadastro de Produtos'!$B:$C,2,0),""))</f>
        <v/>
      </c>
      <c r="D47" s="12"/>
      <c r="E47" s="18"/>
      <c r="F47" s="10"/>
      <c r="G47" s="18"/>
      <c r="H47" s="19" t="str">
        <f t="shared" si="2"/>
        <v/>
      </c>
      <c r="I47" s="20" t="str">
        <f t="shared" si="3"/>
        <v/>
      </c>
      <c r="J47" s="11"/>
    </row>
    <row r="48" spans="2:10" x14ac:dyDescent="0.25">
      <c r="B48" s="7"/>
      <c r="C48" s="13" t="str">
        <f>IF(B48="","",IFERROR(VLOOKUP(B48,'Cadastro de Produtos'!$B:$C,2,0),""))</f>
        <v/>
      </c>
      <c r="D48" s="9"/>
      <c r="E48" s="14"/>
      <c r="F48" s="7"/>
      <c r="G48" s="14"/>
      <c r="H48" s="15" t="str">
        <f t="shared" si="2"/>
        <v/>
      </c>
      <c r="I48" s="16" t="str">
        <f t="shared" si="3"/>
        <v/>
      </c>
      <c r="J48" s="8"/>
    </row>
    <row r="49" spans="2:10" x14ac:dyDescent="0.25">
      <c r="B49" s="10"/>
      <c r="C49" s="17" t="str">
        <f>IF(B49="","",IFERROR(VLOOKUP(B49,'Cadastro de Produtos'!$B:$C,2,0),""))</f>
        <v/>
      </c>
      <c r="D49" s="12"/>
      <c r="E49" s="18"/>
      <c r="F49" s="10"/>
      <c r="G49" s="18"/>
      <c r="H49" s="19" t="str">
        <f t="shared" si="2"/>
        <v/>
      </c>
      <c r="I49" s="20" t="str">
        <f t="shared" si="3"/>
        <v/>
      </c>
      <c r="J49" s="11"/>
    </row>
    <row r="50" spans="2:10" x14ac:dyDescent="0.25">
      <c r="B50" s="7"/>
      <c r="C50" s="13" t="str">
        <f>IF(B50="","",IFERROR(VLOOKUP(B50,'Cadastro de Produtos'!$B:$C,2,0),""))</f>
        <v/>
      </c>
      <c r="D50" s="9"/>
      <c r="E50" s="14"/>
      <c r="F50" s="7"/>
      <c r="G50" s="14"/>
      <c r="H50" s="15" t="str">
        <f t="shared" si="2"/>
        <v/>
      </c>
      <c r="I50" s="16" t="str">
        <f t="shared" si="3"/>
        <v/>
      </c>
      <c r="J50" s="8"/>
    </row>
    <row r="51" spans="2:10" x14ac:dyDescent="0.25">
      <c r="B51" s="10"/>
      <c r="C51" s="17" t="str">
        <f>IF(B51="","",IFERROR(VLOOKUP(B51,'Cadastro de Produtos'!$B:$C,2,0),""))</f>
        <v/>
      </c>
      <c r="D51" s="12"/>
      <c r="E51" s="18"/>
      <c r="F51" s="10"/>
      <c r="G51" s="18"/>
      <c r="H51" s="19" t="str">
        <f t="shared" si="2"/>
        <v/>
      </c>
      <c r="I51" s="20" t="str">
        <f t="shared" si="3"/>
        <v/>
      </c>
      <c r="J51" s="11"/>
    </row>
    <row r="52" spans="2:10" x14ac:dyDescent="0.25">
      <c r="B52" s="7"/>
      <c r="C52" s="13" t="str">
        <f>IF(B52="","",IFERROR(VLOOKUP(B52,'Cadastro de Produtos'!$B:$C,2,0),""))</f>
        <v/>
      </c>
      <c r="D52" s="9"/>
      <c r="E52" s="14"/>
      <c r="F52" s="7"/>
      <c r="G52" s="14"/>
      <c r="H52" s="15" t="str">
        <f t="shared" si="2"/>
        <v/>
      </c>
      <c r="I52" s="16" t="str">
        <f t="shared" si="3"/>
        <v/>
      </c>
      <c r="J52" s="8"/>
    </row>
    <row r="53" spans="2:10" x14ac:dyDescent="0.25">
      <c r="B53" s="10"/>
      <c r="C53" s="17" t="str">
        <f>IF(B53="","",IFERROR(VLOOKUP(B53,'Cadastro de Produtos'!$B:$C,2,0),""))</f>
        <v/>
      </c>
      <c r="D53" s="12"/>
      <c r="E53" s="18"/>
      <c r="F53" s="10"/>
      <c r="G53" s="18"/>
      <c r="H53" s="19" t="str">
        <f t="shared" si="2"/>
        <v/>
      </c>
      <c r="I53" s="20" t="str">
        <f t="shared" si="3"/>
        <v/>
      </c>
      <c r="J53" s="11"/>
    </row>
    <row r="54" spans="2:10" x14ac:dyDescent="0.25">
      <c r="B54" s="7"/>
      <c r="C54" s="13" t="str">
        <f>IF(B54="","",IFERROR(VLOOKUP(B54,'Cadastro de Produtos'!$B:$C,2,0),""))</f>
        <v/>
      </c>
      <c r="D54" s="9"/>
      <c r="E54" s="14"/>
      <c r="F54" s="7"/>
      <c r="G54" s="14"/>
      <c r="H54" s="15" t="str">
        <f t="shared" si="2"/>
        <v/>
      </c>
      <c r="I54" s="16" t="str">
        <f t="shared" si="3"/>
        <v/>
      </c>
      <c r="J54" s="8"/>
    </row>
    <row r="55" spans="2:10" x14ac:dyDescent="0.25">
      <c r="B55" s="10"/>
      <c r="C55" s="17" t="str">
        <f>IF(B55="","",IFERROR(VLOOKUP(B55,'Cadastro de Produtos'!$B:$C,2,0),""))</f>
        <v/>
      </c>
      <c r="D55" s="12"/>
      <c r="E55" s="18"/>
      <c r="F55" s="10"/>
      <c r="G55" s="18"/>
      <c r="H55" s="19" t="str">
        <f t="shared" si="2"/>
        <v/>
      </c>
      <c r="I55" s="20" t="str">
        <f t="shared" si="3"/>
        <v/>
      </c>
      <c r="J55" s="11"/>
    </row>
    <row r="56" spans="2:10" x14ac:dyDescent="0.25">
      <c r="B56" s="7"/>
      <c r="C56" s="13" t="str">
        <f>IF(B56="","",IFERROR(VLOOKUP(B56,'Cadastro de Produtos'!$B:$C,2,0),""))</f>
        <v/>
      </c>
      <c r="D56" s="9"/>
      <c r="E56" s="14"/>
      <c r="F56" s="7"/>
      <c r="G56" s="14"/>
      <c r="H56" s="15" t="str">
        <f t="shared" si="2"/>
        <v/>
      </c>
      <c r="I56" s="16" t="str">
        <f t="shared" si="3"/>
        <v/>
      </c>
      <c r="J56" s="8"/>
    </row>
    <row r="57" spans="2:10" x14ac:dyDescent="0.25">
      <c r="B57" s="10"/>
      <c r="C57" s="17" t="str">
        <f>IF(B57="","",IFERROR(VLOOKUP(B57,'Cadastro de Produtos'!$B:$C,2,0),""))</f>
        <v/>
      </c>
      <c r="D57" s="12"/>
      <c r="E57" s="18"/>
      <c r="F57" s="10"/>
      <c r="G57" s="18"/>
      <c r="H57" s="19" t="str">
        <f t="shared" si="2"/>
        <v/>
      </c>
      <c r="I57" s="20" t="str">
        <f t="shared" si="3"/>
        <v/>
      </c>
      <c r="J57" s="11"/>
    </row>
    <row r="58" spans="2:10" x14ac:dyDescent="0.25">
      <c r="B58" s="7"/>
      <c r="C58" s="13" t="str">
        <f>IF(B58="","",IFERROR(VLOOKUP(B58,'Cadastro de Produtos'!$B:$C,2,0),""))</f>
        <v/>
      </c>
      <c r="D58" s="9"/>
      <c r="E58" s="14"/>
      <c r="F58" s="7"/>
      <c r="G58" s="14"/>
      <c r="H58" s="15" t="str">
        <f t="shared" si="2"/>
        <v/>
      </c>
      <c r="I58" s="16" t="str">
        <f t="shared" si="3"/>
        <v/>
      </c>
      <c r="J58" s="8"/>
    </row>
    <row r="59" spans="2:10" x14ac:dyDescent="0.25">
      <c r="B59" s="10"/>
      <c r="C59" s="17" t="str">
        <f>IF(B59="","",IFERROR(VLOOKUP(B59,'Cadastro de Produtos'!$B:$C,2,0),""))</f>
        <v/>
      </c>
      <c r="D59" s="12"/>
      <c r="E59" s="18"/>
      <c r="F59" s="10"/>
      <c r="G59" s="18"/>
      <c r="H59" s="19" t="str">
        <f t="shared" si="2"/>
        <v/>
      </c>
      <c r="I59" s="20" t="str">
        <f t="shared" si="3"/>
        <v/>
      </c>
      <c r="J59" s="11"/>
    </row>
    <row r="60" spans="2:10" x14ac:dyDescent="0.25">
      <c r="B60" s="7"/>
      <c r="C60" s="13" t="str">
        <f>IF(B60="","",IFERROR(VLOOKUP(B60,'Cadastro de Produtos'!$B:$C,2,0),""))</f>
        <v/>
      </c>
      <c r="D60" s="9"/>
      <c r="E60" s="14"/>
      <c r="F60" s="7"/>
      <c r="G60" s="14"/>
      <c r="H60" s="15" t="str">
        <f t="shared" si="2"/>
        <v/>
      </c>
      <c r="I60" s="16" t="str">
        <f t="shared" si="3"/>
        <v/>
      </c>
      <c r="J60" s="8"/>
    </row>
    <row r="61" spans="2:10" x14ac:dyDescent="0.25">
      <c r="B61" s="10"/>
      <c r="C61" s="17" t="str">
        <f>IF(B61="","",IFERROR(VLOOKUP(B61,'Cadastro de Produtos'!$B:$C,2,0),""))</f>
        <v/>
      </c>
      <c r="D61" s="12"/>
      <c r="E61" s="18"/>
      <c r="F61" s="10"/>
      <c r="G61" s="18"/>
      <c r="H61" s="19" t="str">
        <f t="shared" si="2"/>
        <v/>
      </c>
      <c r="I61" s="20" t="str">
        <f t="shared" si="3"/>
        <v/>
      </c>
      <c r="J61" s="11"/>
    </row>
    <row r="62" spans="2:10" x14ac:dyDescent="0.25">
      <c r="B62" s="7"/>
      <c r="C62" s="13" t="str">
        <f>IF(B62="","",IFERROR(VLOOKUP(B62,'Cadastro de Produtos'!$B:$C,2,0),""))</f>
        <v/>
      </c>
      <c r="D62" s="9"/>
      <c r="E62" s="14"/>
      <c r="F62" s="7"/>
      <c r="G62" s="14"/>
      <c r="H62" s="15" t="str">
        <f t="shared" si="2"/>
        <v/>
      </c>
      <c r="I62" s="16" t="str">
        <f t="shared" si="3"/>
        <v/>
      </c>
      <c r="J62" s="8"/>
    </row>
    <row r="63" spans="2:10" x14ac:dyDescent="0.25">
      <c r="B63" s="10"/>
      <c r="C63" s="17" t="str">
        <f>IF(B63="","",IFERROR(VLOOKUP(B63,'Cadastro de Produtos'!$B:$C,2,0),""))</f>
        <v/>
      </c>
      <c r="D63" s="12"/>
      <c r="E63" s="18"/>
      <c r="F63" s="10"/>
      <c r="G63" s="18"/>
      <c r="H63" s="19" t="str">
        <f t="shared" si="2"/>
        <v/>
      </c>
      <c r="I63" s="20" t="str">
        <f t="shared" si="3"/>
        <v/>
      </c>
      <c r="J63" s="11"/>
    </row>
    <row r="64" spans="2:10" x14ac:dyDescent="0.25">
      <c r="B64" s="7"/>
      <c r="C64" s="13" t="str">
        <f>IF(B64="","",IFERROR(VLOOKUP(B64,'Cadastro de Produtos'!$B:$C,2,0),""))</f>
        <v/>
      </c>
      <c r="D64" s="9"/>
      <c r="E64" s="14"/>
      <c r="F64" s="7"/>
      <c r="G64" s="14"/>
      <c r="H64" s="15" t="str">
        <f t="shared" si="2"/>
        <v/>
      </c>
      <c r="I64" s="16" t="str">
        <f t="shared" si="3"/>
        <v/>
      </c>
      <c r="J64" s="8"/>
    </row>
    <row r="65" spans="2:10" x14ac:dyDescent="0.25">
      <c r="B65" s="10"/>
      <c r="C65" s="17" t="str">
        <f>IF(B65="","",IFERROR(VLOOKUP(B65,'Cadastro de Produtos'!$B:$C,2,0),""))</f>
        <v/>
      </c>
      <c r="D65" s="12"/>
      <c r="E65" s="18"/>
      <c r="F65" s="10"/>
      <c r="G65" s="18"/>
      <c r="H65" s="19" t="str">
        <f t="shared" si="2"/>
        <v/>
      </c>
      <c r="I65" s="20" t="str">
        <f t="shared" si="3"/>
        <v/>
      </c>
      <c r="J65" s="11"/>
    </row>
  </sheetData>
  <sheetProtection sheet="1" autoFilter="0"/>
  <mergeCells count="2">
    <mergeCell ref="B2:J2"/>
    <mergeCell ref="B3:J3"/>
  </mergeCells>
  <conditionalFormatting sqref="B6:J65">
    <cfRule type="expression" dxfId="38" priority="2">
      <formula>$J6="✅ Sim"</formula>
    </cfRule>
    <cfRule type="expression" dxfId="37" priority="3">
      <formula>AND($H6&lt;&gt;"",$H6&gt;0)</formula>
    </cfRule>
    <cfRule type="expression" dxfId="36" priority="4">
      <formula>AND($H6&lt;&gt;"",$H6&lt;0)</formula>
    </cfRule>
  </conditionalFormatting>
  <dataValidations count="1">
    <dataValidation type="list" allowBlank="1" showErrorMessage="1" errorTitle="Opção inválida" error="Escolha uma opção da lista suspensa." sqref="J6:J65" xr:uid="{00000000-0002-0000-0200-000002000000}">
      <formula1>"❌ Não,✅ Sim"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Produto inválido" error="Escolha um produto da lista suspensa. Se não aparece, cadastre-o primeiro na aba Cadastro de Produtos." xr:uid="{00000000-0002-0000-0200-000000000000}">
          <x14:formula1>
            <xm:f>'Cadastro de Produtos'!$B$6:$B$65</xm:f>
          </x14:formula1>
          <x14:formula2>
            <xm:f>0</xm:f>
          </x14:formula2>
          <xm:sqref>B6:B65</xm:sqref>
        </x14:dataValidation>
        <x14:dataValidation type="list" allowBlank="1" showErrorMessage="1" errorTitle="Mercado inválido" error="Escolha um mercado da lista suspensa. Se não aparece, cadastre-o primeiro na aba Cadastro de Produtos." xr:uid="{00000000-0002-0000-0200-000001000000}">
          <x14:formula1>
            <xm:f>'Cadastro de Produtos'!$F$6:$F$25</xm:f>
          </x14:formula1>
          <x14:formula2>
            <xm:f>0</xm:f>
          </x14:formula2>
          <xm:sqref>F6:F65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J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7109375" defaultRowHeight="15" x14ac:dyDescent="0.25"/>
  <cols>
    <col min="1" max="1" width="3" customWidth="1"/>
    <col min="2" max="2" width="22" customWidth="1"/>
    <col min="3" max="3" width="14" customWidth="1"/>
    <col min="4" max="4" width="11" customWidth="1"/>
    <col min="5" max="5" width="13" customWidth="1"/>
    <col min="6" max="6" width="16" customWidth="1"/>
    <col min="7" max="7" width="15" customWidth="1"/>
    <col min="8" max="8" width="13" customWidth="1"/>
    <col min="9" max="9" width="14" customWidth="1"/>
    <col min="10" max="10" width="12" customWidth="1"/>
  </cols>
  <sheetData>
    <row r="2" spans="2:10" ht="27.75" customHeight="1" x14ac:dyDescent="0.25">
      <c r="B2" s="58" t="s">
        <v>64</v>
      </c>
      <c r="C2" s="58"/>
      <c r="D2" s="58"/>
      <c r="E2" s="58"/>
      <c r="F2" s="58"/>
      <c r="G2" s="58"/>
      <c r="H2" s="58"/>
      <c r="I2" s="58"/>
      <c r="J2" s="58"/>
    </row>
    <row r="3" spans="2:10" ht="19.5" customHeight="1" x14ac:dyDescent="0.25">
      <c r="B3" s="57" t="s">
        <v>55</v>
      </c>
      <c r="C3" s="57"/>
      <c r="D3" s="57"/>
      <c r="E3" s="57"/>
      <c r="F3" s="57"/>
      <c r="G3" s="57"/>
      <c r="H3" s="57"/>
      <c r="I3" s="57"/>
      <c r="J3" s="57"/>
    </row>
    <row r="5" spans="2:10" ht="24" x14ac:dyDescent="0.25">
      <c r="B5" s="6" t="s">
        <v>38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61</v>
      </c>
      <c r="I5" s="6" t="s">
        <v>62</v>
      </c>
      <c r="J5" s="6" t="s">
        <v>63</v>
      </c>
    </row>
    <row r="6" spans="2:10" x14ac:dyDescent="0.25">
      <c r="B6" s="7"/>
      <c r="C6" s="13" t="str">
        <f>IF(B6="","",IFERROR(VLOOKUP(B6,'Cadastro de Produtos'!$B:$C,2,0),""))</f>
        <v/>
      </c>
      <c r="D6" s="9"/>
      <c r="E6" s="14"/>
      <c r="F6" s="7"/>
      <c r="G6" s="14"/>
      <c r="H6" s="15" t="str">
        <f t="shared" ref="H6:H37" si="0">IF(B6="","",IF(OR(E6="",G6="",G6=0),"",(E6-G6)/G6))</f>
        <v/>
      </c>
      <c r="I6" s="16" t="str">
        <f t="shared" ref="I6:I37" si="1">IF(B6="","",IF(D6="","",D6*E6))</f>
        <v/>
      </c>
      <c r="J6" s="8"/>
    </row>
    <row r="7" spans="2:10" x14ac:dyDescent="0.25">
      <c r="B7" s="10"/>
      <c r="C7" s="17" t="str">
        <f>IF(B7="","",IFERROR(VLOOKUP(B7,'Cadastro de Produtos'!$B:$C,2,0),""))</f>
        <v/>
      </c>
      <c r="D7" s="12"/>
      <c r="E7" s="18"/>
      <c r="F7" s="10"/>
      <c r="G7" s="18"/>
      <c r="H7" s="19" t="str">
        <f t="shared" si="0"/>
        <v/>
      </c>
      <c r="I7" s="20" t="str">
        <f t="shared" si="1"/>
        <v/>
      </c>
      <c r="J7" s="11"/>
    </row>
    <row r="8" spans="2:10" x14ac:dyDescent="0.25">
      <c r="B8" s="7"/>
      <c r="C8" s="13" t="str">
        <f>IF(B8="","",IFERROR(VLOOKUP(B8,'Cadastro de Produtos'!$B:$C,2,0),""))</f>
        <v/>
      </c>
      <c r="D8" s="9"/>
      <c r="E8" s="14"/>
      <c r="F8" s="7"/>
      <c r="G8" s="14"/>
      <c r="H8" s="15" t="str">
        <f t="shared" si="0"/>
        <v/>
      </c>
      <c r="I8" s="16" t="str">
        <f t="shared" si="1"/>
        <v/>
      </c>
      <c r="J8" s="8"/>
    </row>
    <row r="9" spans="2:10" x14ac:dyDescent="0.25">
      <c r="B9" s="10"/>
      <c r="C9" s="17" t="str">
        <f>IF(B9="","",IFERROR(VLOOKUP(B9,'Cadastro de Produtos'!$B:$C,2,0),""))</f>
        <v/>
      </c>
      <c r="D9" s="12"/>
      <c r="E9" s="18"/>
      <c r="F9" s="10"/>
      <c r="G9" s="18"/>
      <c r="H9" s="19" t="str">
        <f t="shared" si="0"/>
        <v/>
      </c>
      <c r="I9" s="20" t="str">
        <f t="shared" si="1"/>
        <v/>
      </c>
      <c r="J9" s="11"/>
    </row>
    <row r="10" spans="2:10" x14ac:dyDescent="0.25">
      <c r="B10" s="7"/>
      <c r="C10" s="13" t="str">
        <f>IF(B10="","",IFERROR(VLOOKUP(B10,'Cadastro de Produtos'!$B:$C,2,0),""))</f>
        <v/>
      </c>
      <c r="D10" s="9"/>
      <c r="E10" s="14"/>
      <c r="F10" s="7"/>
      <c r="G10" s="14"/>
      <c r="H10" s="15" t="str">
        <f t="shared" si="0"/>
        <v/>
      </c>
      <c r="I10" s="16" t="str">
        <f t="shared" si="1"/>
        <v/>
      </c>
      <c r="J10" s="8"/>
    </row>
    <row r="11" spans="2:10" x14ac:dyDescent="0.25">
      <c r="B11" s="10"/>
      <c r="C11" s="17" t="str">
        <f>IF(B11="","",IFERROR(VLOOKUP(B11,'Cadastro de Produtos'!$B:$C,2,0),""))</f>
        <v/>
      </c>
      <c r="D11" s="12"/>
      <c r="E11" s="18"/>
      <c r="F11" s="10"/>
      <c r="G11" s="18"/>
      <c r="H11" s="19" t="str">
        <f t="shared" si="0"/>
        <v/>
      </c>
      <c r="I11" s="20" t="str">
        <f t="shared" si="1"/>
        <v/>
      </c>
      <c r="J11" s="11"/>
    </row>
    <row r="12" spans="2:10" x14ac:dyDescent="0.25">
      <c r="B12" s="7"/>
      <c r="C12" s="13" t="str">
        <f>IF(B12="","",IFERROR(VLOOKUP(B12,'Cadastro de Produtos'!$B:$C,2,0),""))</f>
        <v/>
      </c>
      <c r="D12" s="9"/>
      <c r="E12" s="14"/>
      <c r="F12" s="7"/>
      <c r="G12" s="14"/>
      <c r="H12" s="15" t="str">
        <f t="shared" si="0"/>
        <v/>
      </c>
      <c r="I12" s="16" t="str">
        <f t="shared" si="1"/>
        <v/>
      </c>
      <c r="J12" s="8"/>
    </row>
    <row r="13" spans="2:10" x14ac:dyDescent="0.25">
      <c r="B13" s="10"/>
      <c r="C13" s="17" t="str">
        <f>IF(B13="","",IFERROR(VLOOKUP(B13,'Cadastro de Produtos'!$B:$C,2,0),""))</f>
        <v/>
      </c>
      <c r="D13" s="12"/>
      <c r="E13" s="18"/>
      <c r="F13" s="10"/>
      <c r="G13" s="18"/>
      <c r="H13" s="19" t="str">
        <f t="shared" si="0"/>
        <v/>
      </c>
      <c r="I13" s="20" t="str">
        <f t="shared" si="1"/>
        <v/>
      </c>
      <c r="J13" s="11"/>
    </row>
    <row r="14" spans="2:10" x14ac:dyDescent="0.25">
      <c r="B14" s="7"/>
      <c r="C14" s="13" t="str">
        <f>IF(B14="","",IFERROR(VLOOKUP(B14,'Cadastro de Produtos'!$B:$C,2,0),""))</f>
        <v/>
      </c>
      <c r="D14" s="9"/>
      <c r="E14" s="14"/>
      <c r="F14" s="7"/>
      <c r="G14" s="14"/>
      <c r="H14" s="15" t="str">
        <f t="shared" si="0"/>
        <v/>
      </c>
      <c r="I14" s="16" t="str">
        <f t="shared" si="1"/>
        <v/>
      </c>
      <c r="J14" s="8"/>
    </row>
    <row r="15" spans="2:10" x14ac:dyDescent="0.25">
      <c r="B15" s="10"/>
      <c r="C15" s="17" t="str">
        <f>IF(B15="","",IFERROR(VLOOKUP(B15,'Cadastro de Produtos'!$B:$C,2,0),""))</f>
        <v/>
      </c>
      <c r="D15" s="12"/>
      <c r="E15" s="18"/>
      <c r="F15" s="10"/>
      <c r="G15" s="18"/>
      <c r="H15" s="19" t="str">
        <f t="shared" si="0"/>
        <v/>
      </c>
      <c r="I15" s="20" t="str">
        <f t="shared" si="1"/>
        <v/>
      </c>
      <c r="J15" s="11"/>
    </row>
    <row r="16" spans="2:10" x14ac:dyDescent="0.25">
      <c r="B16" s="7"/>
      <c r="C16" s="13" t="str">
        <f>IF(B16="","",IFERROR(VLOOKUP(B16,'Cadastro de Produtos'!$B:$C,2,0),""))</f>
        <v/>
      </c>
      <c r="D16" s="9"/>
      <c r="E16" s="14"/>
      <c r="F16" s="7"/>
      <c r="G16" s="14"/>
      <c r="H16" s="15" t="str">
        <f t="shared" si="0"/>
        <v/>
      </c>
      <c r="I16" s="16" t="str">
        <f t="shared" si="1"/>
        <v/>
      </c>
      <c r="J16" s="8"/>
    </row>
    <row r="17" spans="2:10" x14ac:dyDescent="0.25">
      <c r="B17" s="10"/>
      <c r="C17" s="17" t="str">
        <f>IF(B17="","",IFERROR(VLOOKUP(B17,'Cadastro de Produtos'!$B:$C,2,0),""))</f>
        <v/>
      </c>
      <c r="D17" s="12"/>
      <c r="E17" s="18"/>
      <c r="F17" s="10"/>
      <c r="G17" s="18"/>
      <c r="H17" s="19" t="str">
        <f t="shared" si="0"/>
        <v/>
      </c>
      <c r="I17" s="20" t="str">
        <f t="shared" si="1"/>
        <v/>
      </c>
      <c r="J17" s="11"/>
    </row>
    <row r="18" spans="2:10" x14ac:dyDescent="0.25">
      <c r="B18" s="7"/>
      <c r="C18" s="13" t="str">
        <f>IF(B18="","",IFERROR(VLOOKUP(B18,'Cadastro de Produtos'!$B:$C,2,0),""))</f>
        <v/>
      </c>
      <c r="D18" s="9"/>
      <c r="E18" s="14"/>
      <c r="F18" s="7"/>
      <c r="G18" s="14"/>
      <c r="H18" s="15" t="str">
        <f t="shared" si="0"/>
        <v/>
      </c>
      <c r="I18" s="16" t="str">
        <f t="shared" si="1"/>
        <v/>
      </c>
      <c r="J18" s="8"/>
    </row>
    <row r="19" spans="2:10" x14ac:dyDescent="0.25">
      <c r="B19" s="10"/>
      <c r="C19" s="17" t="str">
        <f>IF(B19="","",IFERROR(VLOOKUP(B19,'Cadastro de Produtos'!$B:$C,2,0),""))</f>
        <v/>
      </c>
      <c r="D19" s="12"/>
      <c r="E19" s="18"/>
      <c r="F19" s="10"/>
      <c r="G19" s="18"/>
      <c r="H19" s="19" t="str">
        <f t="shared" si="0"/>
        <v/>
      </c>
      <c r="I19" s="20" t="str">
        <f t="shared" si="1"/>
        <v/>
      </c>
      <c r="J19" s="11"/>
    </row>
    <row r="20" spans="2:10" x14ac:dyDescent="0.25">
      <c r="B20" s="7"/>
      <c r="C20" s="13" t="str">
        <f>IF(B20="","",IFERROR(VLOOKUP(B20,'Cadastro de Produtos'!$B:$C,2,0),""))</f>
        <v/>
      </c>
      <c r="D20" s="9"/>
      <c r="E20" s="14"/>
      <c r="F20" s="7"/>
      <c r="G20" s="14"/>
      <c r="H20" s="15" t="str">
        <f t="shared" si="0"/>
        <v/>
      </c>
      <c r="I20" s="16" t="str">
        <f t="shared" si="1"/>
        <v/>
      </c>
      <c r="J20" s="8"/>
    </row>
    <row r="21" spans="2:10" x14ac:dyDescent="0.25">
      <c r="B21" s="10"/>
      <c r="C21" s="17" t="str">
        <f>IF(B21="","",IFERROR(VLOOKUP(B21,'Cadastro de Produtos'!$B:$C,2,0),""))</f>
        <v/>
      </c>
      <c r="D21" s="12"/>
      <c r="E21" s="18"/>
      <c r="F21" s="10"/>
      <c r="G21" s="18"/>
      <c r="H21" s="19" t="str">
        <f t="shared" si="0"/>
        <v/>
      </c>
      <c r="I21" s="20" t="str">
        <f t="shared" si="1"/>
        <v/>
      </c>
      <c r="J21" s="11"/>
    </row>
    <row r="22" spans="2:10" x14ac:dyDescent="0.25">
      <c r="B22" s="7"/>
      <c r="C22" s="13" t="str">
        <f>IF(B22="","",IFERROR(VLOOKUP(B22,'Cadastro de Produtos'!$B:$C,2,0),""))</f>
        <v/>
      </c>
      <c r="D22" s="9"/>
      <c r="E22" s="14"/>
      <c r="F22" s="7"/>
      <c r="G22" s="14"/>
      <c r="H22" s="15" t="str">
        <f t="shared" si="0"/>
        <v/>
      </c>
      <c r="I22" s="16" t="str">
        <f t="shared" si="1"/>
        <v/>
      </c>
      <c r="J22" s="8"/>
    </row>
    <row r="23" spans="2:10" x14ac:dyDescent="0.25">
      <c r="B23" s="10"/>
      <c r="C23" s="17" t="str">
        <f>IF(B23="","",IFERROR(VLOOKUP(B23,'Cadastro de Produtos'!$B:$C,2,0),""))</f>
        <v/>
      </c>
      <c r="D23" s="12"/>
      <c r="E23" s="18"/>
      <c r="F23" s="10"/>
      <c r="G23" s="18"/>
      <c r="H23" s="19" t="str">
        <f t="shared" si="0"/>
        <v/>
      </c>
      <c r="I23" s="20" t="str">
        <f t="shared" si="1"/>
        <v/>
      </c>
      <c r="J23" s="11"/>
    </row>
    <row r="24" spans="2:10" x14ac:dyDescent="0.25">
      <c r="B24" s="7"/>
      <c r="C24" s="13" t="str">
        <f>IF(B24="","",IFERROR(VLOOKUP(B24,'Cadastro de Produtos'!$B:$C,2,0),""))</f>
        <v/>
      </c>
      <c r="D24" s="9"/>
      <c r="E24" s="14"/>
      <c r="F24" s="7"/>
      <c r="G24" s="14"/>
      <c r="H24" s="15" t="str">
        <f t="shared" si="0"/>
        <v/>
      </c>
      <c r="I24" s="16" t="str">
        <f t="shared" si="1"/>
        <v/>
      </c>
      <c r="J24" s="8"/>
    </row>
    <row r="25" spans="2:10" x14ac:dyDescent="0.25">
      <c r="B25" s="10"/>
      <c r="C25" s="17" t="str">
        <f>IF(B25="","",IFERROR(VLOOKUP(B25,'Cadastro de Produtos'!$B:$C,2,0),""))</f>
        <v/>
      </c>
      <c r="D25" s="12"/>
      <c r="E25" s="18"/>
      <c r="F25" s="10"/>
      <c r="G25" s="18"/>
      <c r="H25" s="19" t="str">
        <f t="shared" si="0"/>
        <v/>
      </c>
      <c r="I25" s="20" t="str">
        <f t="shared" si="1"/>
        <v/>
      </c>
      <c r="J25" s="11"/>
    </row>
    <row r="26" spans="2:10" x14ac:dyDescent="0.25">
      <c r="B26" s="7"/>
      <c r="C26" s="13" t="str">
        <f>IF(B26="","",IFERROR(VLOOKUP(B26,'Cadastro de Produtos'!$B:$C,2,0),""))</f>
        <v/>
      </c>
      <c r="D26" s="9"/>
      <c r="E26" s="14"/>
      <c r="F26" s="7"/>
      <c r="G26" s="14"/>
      <c r="H26" s="15" t="str">
        <f t="shared" si="0"/>
        <v/>
      </c>
      <c r="I26" s="16" t="str">
        <f t="shared" si="1"/>
        <v/>
      </c>
      <c r="J26" s="8"/>
    </row>
    <row r="27" spans="2:10" x14ac:dyDescent="0.25">
      <c r="B27" s="10"/>
      <c r="C27" s="17" t="str">
        <f>IF(B27="","",IFERROR(VLOOKUP(B27,'Cadastro de Produtos'!$B:$C,2,0),""))</f>
        <v/>
      </c>
      <c r="D27" s="12"/>
      <c r="E27" s="18"/>
      <c r="F27" s="10"/>
      <c r="G27" s="18"/>
      <c r="H27" s="19" t="str">
        <f t="shared" si="0"/>
        <v/>
      </c>
      <c r="I27" s="20" t="str">
        <f t="shared" si="1"/>
        <v/>
      </c>
      <c r="J27" s="11"/>
    </row>
    <row r="28" spans="2:10" x14ac:dyDescent="0.25">
      <c r="B28" s="7"/>
      <c r="C28" s="13" t="str">
        <f>IF(B28="","",IFERROR(VLOOKUP(B28,'Cadastro de Produtos'!$B:$C,2,0),""))</f>
        <v/>
      </c>
      <c r="D28" s="9"/>
      <c r="E28" s="14"/>
      <c r="F28" s="7"/>
      <c r="G28" s="14"/>
      <c r="H28" s="15" t="str">
        <f t="shared" si="0"/>
        <v/>
      </c>
      <c r="I28" s="16" t="str">
        <f t="shared" si="1"/>
        <v/>
      </c>
      <c r="J28" s="8"/>
    </row>
    <row r="29" spans="2:10" x14ac:dyDescent="0.25">
      <c r="B29" s="10"/>
      <c r="C29" s="17" t="str">
        <f>IF(B29="","",IFERROR(VLOOKUP(B29,'Cadastro de Produtos'!$B:$C,2,0),""))</f>
        <v/>
      </c>
      <c r="D29" s="12"/>
      <c r="E29" s="18"/>
      <c r="F29" s="10"/>
      <c r="G29" s="18"/>
      <c r="H29" s="19" t="str">
        <f t="shared" si="0"/>
        <v/>
      </c>
      <c r="I29" s="20" t="str">
        <f t="shared" si="1"/>
        <v/>
      </c>
      <c r="J29" s="11"/>
    </row>
    <row r="30" spans="2:10" x14ac:dyDescent="0.25">
      <c r="B30" s="7"/>
      <c r="C30" s="13" t="str">
        <f>IF(B30="","",IFERROR(VLOOKUP(B30,'Cadastro de Produtos'!$B:$C,2,0),""))</f>
        <v/>
      </c>
      <c r="D30" s="9"/>
      <c r="E30" s="14"/>
      <c r="F30" s="7"/>
      <c r="G30" s="14"/>
      <c r="H30" s="15" t="str">
        <f t="shared" si="0"/>
        <v/>
      </c>
      <c r="I30" s="16" t="str">
        <f t="shared" si="1"/>
        <v/>
      </c>
      <c r="J30" s="8"/>
    </row>
    <row r="31" spans="2:10" x14ac:dyDescent="0.25">
      <c r="B31" s="10"/>
      <c r="C31" s="17" t="str">
        <f>IF(B31="","",IFERROR(VLOOKUP(B31,'Cadastro de Produtos'!$B:$C,2,0),""))</f>
        <v/>
      </c>
      <c r="D31" s="12"/>
      <c r="E31" s="18"/>
      <c r="F31" s="10"/>
      <c r="G31" s="18"/>
      <c r="H31" s="19" t="str">
        <f t="shared" si="0"/>
        <v/>
      </c>
      <c r="I31" s="20" t="str">
        <f t="shared" si="1"/>
        <v/>
      </c>
      <c r="J31" s="11"/>
    </row>
    <row r="32" spans="2:10" x14ac:dyDescent="0.25">
      <c r="B32" s="7"/>
      <c r="C32" s="13" t="str">
        <f>IF(B32="","",IFERROR(VLOOKUP(B32,'Cadastro de Produtos'!$B:$C,2,0),""))</f>
        <v/>
      </c>
      <c r="D32" s="9"/>
      <c r="E32" s="14"/>
      <c r="F32" s="7"/>
      <c r="G32" s="14"/>
      <c r="H32" s="15" t="str">
        <f t="shared" si="0"/>
        <v/>
      </c>
      <c r="I32" s="16" t="str">
        <f t="shared" si="1"/>
        <v/>
      </c>
      <c r="J32" s="8"/>
    </row>
    <row r="33" spans="2:10" x14ac:dyDescent="0.25">
      <c r="B33" s="10"/>
      <c r="C33" s="17" t="str">
        <f>IF(B33="","",IFERROR(VLOOKUP(B33,'Cadastro de Produtos'!$B:$C,2,0),""))</f>
        <v/>
      </c>
      <c r="D33" s="12"/>
      <c r="E33" s="18"/>
      <c r="F33" s="10"/>
      <c r="G33" s="18"/>
      <c r="H33" s="19" t="str">
        <f t="shared" si="0"/>
        <v/>
      </c>
      <c r="I33" s="20" t="str">
        <f t="shared" si="1"/>
        <v/>
      </c>
      <c r="J33" s="11"/>
    </row>
    <row r="34" spans="2:10" x14ac:dyDescent="0.25">
      <c r="B34" s="7"/>
      <c r="C34" s="13" t="str">
        <f>IF(B34="","",IFERROR(VLOOKUP(B34,'Cadastro de Produtos'!$B:$C,2,0),""))</f>
        <v/>
      </c>
      <c r="D34" s="9"/>
      <c r="E34" s="14"/>
      <c r="F34" s="7"/>
      <c r="G34" s="14"/>
      <c r="H34" s="15" t="str">
        <f t="shared" si="0"/>
        <v/>
      </c>
      <c r="I34" s="16" t="str">
        <f t="shared" si="1"/>
        <v/>
      </c>
      <c r="J34" s="8"/>
    </row>
    <row r="35" spans="2:10" x14ac:dyDescent="0.25">
      <c r="B35" s="10"/>
      <c r="C35" s="17" t="str">
        <f>IF(B35="","",IFERROR(VLOOKUP(B35,'Cadastro de Produtos'!$B:$C,2,0),""))</f>
        <v/>
      </c>
      <c r="D35" s="12"/>
      <c r="E35" s="18"/>
      <c r="F35" s="10"/>
      <c r="G35" s="18"/>
      <c r="H35" s="19" t="str">
        <f t="shared" si="0"/>
        <v/>
      </c>
      <c r="I35" s="20" t="str">
        <f t="shared" si="1"/>
        <v/>
      </c>
      <c r="J35" s="11"/>
    </row>
    <row r="36" spans="2:10" x14ac:dyDescent="0.25">
      <c r="B36" s="7"/>
      <c r="C36" s="13" t="str">
        <f>IF(B36="","",IFERROR(VLOOKUP(B36,'Cadastro de Produtos'!$B:$C,2,0),""))</f>
        <v/>
      </c>
      <c r="D36" s="9"/>
      <c r="E36" s="14"/>
      <c r="F36" s="7"/>
      <c r="G36" s="14"/>
      <c r="H36" s="15" t="str">
        <f t="shared" si="0"/>
        <v/>
      </c>
      <c r="I36" s="16" t="str">
        <f t="shared" si="1"/>
        <v/>
      </c>
      <c r="J36" s="8"/>
    </row>
    <row r="37" spans="2:10" x14ac:dyDescent="0.25">
      <c r="B37" s="10"/>
      <c r="C37" s="17" t="str">
        <f>IF(B37="","",IFERROR(VLOOKUP(B37,'Cadastro de Produtos'!$B:$C,2,0),""))</f>
        <v/>
      </c>
      <c r="D37" s="12"/>
      <c r="E37" s="18"/>
      <c r="F37" s="10"/>
      <c r="G37" s="18"/>
      <c r="H37" s="19" t="str">
        <f t="shared" si="0"/>
        <v/>
      </c>
      <c r="I37" s="20" t="str">
        <f t="shared" si="1"/>
        <v/>
      </c>
      <c r="J37" s="11"/>
    </row>
    <row r="38" spans="2:10" x14ac:dyDescent="0.25">
      <c r="B38" s="7"/>
      <c r="C38" s="13" t="str">
        <f>IF(B38="","",IFERROR(VLOOKUP(B38,'Cadastro de Produtos'!$B:$C,2,0),""))</f>
        <v/>
      </c>
      <c r="D38" s="9"/>
      <c r="E38" s="14"/>
      <c r="F38" s="7"/>
      <c r="G38" s="14"/>
      <c r="H38" s="15" t="str">
        <f t="shared" ref="H38:H65" si="2">IF(B38="","",IF(OR(E38="",G38="",G38=0),"",(E38-G38)/G38))</f>
        <v/>
      </c>
      <c r="I38" s="16" t="str">
        <f t="shared" ref="I38:I65" si="3">IF(B38="","",IF(D38="","",D38*E38))</f>
        <v/>
      </c>
      <c r="J38" s="8"/>
    </row>
    <row r="39" spans="2:10" x14ac:dyDescent="0.25">
      <c r="B39" s="10"/>
      <c r="C39" s="17" t="str">
        <f>IF(B39="","",IFERROR(VLOOKUP(B39,'Cadastro de Produtos'!$B:$C,2,0),""))</f>
        <v/>
      </c>
      <c r="D39" s="12"/>
      <c r="E39" s="18"/>
      <c r="F39" s="10"/>
      <c r="G39" s="18"/>
      <c r="H39" s="19" t="str">
        <f t="shared" si="2"/>
        <v/>
      </c>
      <c r="I39" s="20" t="str">
        <f t="shared" si="3"/>
        <v/>
      </c>
      <c r="J39" s="11"/>
    </row>
    <row r="40" spans="2:10" x14ac:dyDescent="0.25">
      <c r="B40" s="7"/>
      <c r="C40" s="13" t="str">
        <f>IF(B40="","",IFERROR(VLOOKUP(B40,'Cadastro de Produtos'!$B:$C,2,0),""))</f>
        <v/>
      </c>
      <c r="D40" s="9"/>
      <c r="E40" s="14"/>
      <c r="F40" s="7"/>
      <c r="G40" s="14"/>
      <c r="H40" s="15" t="str">
        <f t="shared" si="2"/>
        <v/>
      </c>
      <c r="I40" s="16" t="str">
        <f t="shared" si="3"/>
        <v/>
      </c>
      <c r="J40" s="8"/>
    </row>
    <row r="41" spans="2:10" x14ac:dyDescent="0.25">
      <c r="B41" s="10"/>
      <c r="C41" s="17" t="str">
        <f>IF(B41="","",IFERROR(VLOOKUP(B41,'Cadastro de Produtos'!$B:$C,2,0),""))</f>
        <v/>
      </c>
      <c r="D41" s="12"/>
      <c r="E41" s="18"/>
      <c r="F41" s="10"/>
      <c r="G41" s="18"/>
      <c r="H41" s="19" t="str">
        <f t="shared" si="2"/>
        <v/>
      </c>
      <c r="I41" s="20" t="str">
        <f t="shared" si="3"/>
        <v/>
      </c>
      <c r="J41" s="11"/>
    </row>
    <row r="42" spans="2:10" x14ac:dyDescent="0.25">
      <c r="B42" s="7"/>
      <c r="C42" s="13" t="str">
        <f>IF(B42="","",IFERROR(VLOOKUP(B42,'Cadastro de Produtos'!$B:$C,2,0),""))</f>
        <v/>
      </c>
      <c r="D42" s="9"/>
      <c r="E42" s="14"/>
      <c r="F42" s="7"/>
      <c r="G42" s="14"/>
      <c r="H42" s="15" t="str">
        <f t="shared" si="2"/>
        <v/>
      </c>
      <c r="I42" s="16" t="str">
        <f t="shared" si="3"/>
        <v/>
      </c>
      <c r="J42" s="8"/>
    </row>
    <row r="43" spans="2:10" x14ac:dyDescent="0.25">
      <c r="B43" s="10"/>
      <c r="C43" s="17" t="str">
        <f>IF(B43="","",IFERROR(VLOOKUP(B43,'Cadastro de Produtos'!$B:$C,2,0),""))</f>
        <v/>
      </c>
      <c r="D43" s="12"/>
      <c r="E43" s="18"/>
      <c r="F43" s="10"/>
      <c r="G43" s="18"/>
      <c r="H43" s="19" t="str">
        <f t="shared" si="2"/>
        <v/>
      </c>
      <c r="I43" s="20" t="str">
        <f t="shared" si="3"/>
        <v/>
      </c>
      <c r="J43" s="11"/>
    </row>
    <row r="44" spans="2:10" x14ac:dyDescent="0.25">
      <c r="B44" s="7"/>
      <c r="C44" s="13" t="str">
        <f>IF(B44="","",IFERROR(VLOOKUP(B44,'Cadastro de Produtos'!$B:$C,2,0),""))</f>
        <v/>
      </c>
      <c r="D44" s="9"/>
      <c r="E44" s="14"/>
      <c r="F44" s="7"/>
      <c r="G44" s="14"/>
      <c r="H44" s="15" t="str">
        <f t="shared" si="2"/>
        <v/>
      </c>
      <c r="I44" s="16" t="str">
        <f t="shared" si="3"/>
        <v/>
      </c>
      <c r="J44" s="8"/>
    </row>
    <row r="45" spans="2:10" x14ac:dyDescent="0.25">
      <c r="B45" s="10"/>
      <c r="C45" s="17" t="str">
        <f>IF(B45="","",IFERROR(VLOOKUP(B45,'Cadastro de Produtos'!$B:$C,2,0),""))</f>
        <v/>
      </c>
      <c r="D45" s="12"/>
      <c r="E45" s="18"/>
      <c r="F45" s="10"/>
      <c r="G45" s="18"/>
      <c r="H45" s="19" t="str">
        <f t="shared" si="2"/>
        <v/>
      </c>
      <c r="I45" s="20" t="str">
        <f t="shared" si="3"/>
        <v/>
      </c>
      <c r="J45" s="11"/>
    </row>
    <row r="46" spans="2:10" x14ac:dyDescent="0.25">
      <c r="B46" s="7"/>
      <c r="C46" s="13" t="str">
        <f>IF(B46="","",IFERROR(VLOOKUP(B46,'Cadastro de Produtos'!$B:$C,2,0),""))</f>
        <v/>
      </c>
      <c r="D46" s="9"/>
      <c r="E46" s="14"/>
      <c r="F46" s="7"/>
      <c r="G46" s="14"/>
      <c r="H46" s="15" t="str">
        <f t="shared" si="2"/>
        <v/>
      </c>
      <c r="I46" s="16" t="str">
        <f t="shared" si="3"/>
        <v/>
      </c>
      <c r="J46" s="8"/>
    </row>
    <row r="47" spans="2:10" x14ac:dyDescent="0.25">
      <c r="B47" s="10"/>
      <c r="C47" s="17" t="str">
        <f>IF(B47="","",IFERROR(VLOOKUP(B47,'Cadastro de Produtos'!$B:$C,2,0),""))</f>
        <v/>
      </c>
      <c r="D47" s="12"/>
      <c r="E47" s="18"/>
      <c r="F47" s="10"/>
      <c r="G47" s="18"/>
      <c r="H47" s="19" t="str">
        <f t="shared" si="2"/>
        <v/>
      </c>
      <c r="I47" s="20" t="str">
        <f t="shared" si="3"/>
        <v/>
      </c>
      <c r="J47" s="11"/>
    </row>
    <row r="48" spans="2:10" x14ac:dyDescent="0.25">
      <c r="B48" s="7"/>
      <c r="C48" s="13" t="str">
        <f>IF(B48="","",IFERROR(VLOOKUP(B48,'Cadastro de Produtos'!$B:$C,2,0),""))</f>
        <v/>
      </c>
      <c r="D48" s="9"/>
      <c r="E48" s="14"/>
      <c r="F48" s="7"/>
      <c r="G48" s="14"/>
      <c r="H48" s="15" t="str">
        <f t="shared" si="2"/>
        <v/>
      </c>
      <c r="I48" s="16" t="str">
        <f t="shared" si="3"/>
        <v/>
      </c>
      <c r="J48" s="8"/>
    </row>
    <row r="49" spans="2:10" x14ac:dyDescent="0.25">
      <c r="B49" s="10"/>
      <c r="C49" s="17" t="str">
        <f>IF(B49="","",IFERROR(VLOOKUP(B49,'Cadastro de Produtos'!$B:$C,2,0),""))</f>
        <v/>
      </c>
      <c r="D49" s="12"/>
      <c r="E49" s="18"/>
      <c r="F49" s="10"/>
      <c r="G49" s="18"/>
      <c r="H49" s="19" t="str">
        <f t="shared" si="2"/>
        <v/>
      </c>
      <c r="I49" s="20" t="str">
        <f t="shared" si="3"/>
        <v/>
      </c>
      <c r="J49" s="11"/>
    </row>
    <row r="50" spans="2:10" x14ac:dyDescent="0.25">
      <c r="B50" s="7"/>
      <c r="C50" s="13" t="str">
        <f>IF(B50="","",IFERROR(VLOOKUP(B50,'Cadastro de Produtos'!$B:$C,2,0),""))</f>
        <v/>
      </c>
      <c r="D50" s="9"/>
      <c r="E50" s="14"/>
      <c r="F50" s="7"/>
      <c r="G50" s="14"/>
      <c r="H50" s="15" t="str">
        <f t="shared" si="2"/>
        <v/>
      </c>
      <c r="I50" s="16" t="str">
        <f t="shared" si="3"/>
        <v/>
      </c>
      <c r="J50" s="8"/>
    </row>
    <row r="51" spans="2:10" x14ac:dyDescent="0.25">
      <c r="B51" s="10"/>
      <c r="C51" s="17" t="str">
        <f>IF(B51="","",IFERROR(VLOOKUP(B51,'Cadastro de Produtos'!$B:$C,2,0),""))</f>
        <v/>
      </c>
      <c r="D51" s="12"/>
      <c r="E51" s="18"/>
      <c r="F51" s="10"/>
      <c r="G51" s="18"/>
      <c r="H51" s="19" t="str">
        <f t="shared" si="2"/>
        <v/>
      </c>
      <c r="I51" s="20" t="str">
        <f t="shared" si="3"/>
        <v/>
      </c>
      <c r="J51" s="11"/>
    </row>
    <row r="52" spans="2:10" x14ac:dyDescent="0.25">
      <c r="B52" s="7"/>
      <c r="C52" s="13" t="str">
        <f>IF(B52="","",IFERROR(VLOOKUP(B52,'Cadastro de Produtos'!$B:$C,2,0),""))</f>
        <v/>
      </c>
      <c r="D52" s="9"/>
      <c r="E52" s="14"/>
      <c r="F52" s="7"/>
      <c r="G52" s="14"/>
      <c r="H52" s="15" t="str">
        <f t="shared" si="2"/>
        <v/>
      </c>
      <c r="I52" s="16" t="str">
        <f t="shared" si="3"/>
        <v/>
      </c>
      <c r="J52" s="8"/>
    </row>
    <row r="53" spans="2:10" x14ac:dyDescent="0.25">
      <c r="B53" s="10"/>
      <c r="C53" s="17" t="str">
        <f>IF(B53="","",IFERROR(VLOOKUP(B53,'Cadastro de Produtos'!$B:$C,2,0),""))</f>
        <v/>
      </c>
      <c r="D53" s="12"/>
      <c r="E53" s="18"/>
      <c r="F53" s="10"/>
      <c r="G53" s="18"/>
      <c r="H53" s="19" t="str">
        <f t="shared" si="2"/>
        <v/>
      </c>
      <c r="I53" s="20" t="str">
        <f t="shared" si="3"/>
        <v/>
      </c>
      <c r="J53" s="11"/>
    </row>
    <row r="54" spans="2:10" x14ac:dyDescent="0.25">
      <c r="B54" s="7"/>
      <c r="C54" s="13" t="str">
        <f>IF(B54="","",IFERROR(VLOOKUP(B54,'Cadastro de Produtos'!$B:$C,2,0),""))</f>
        <v/>
      </c>
      <c r="D54" s="9"/>
      <c r="E54" s="14"/>
      <c r="F54" s="7"/>
      <c r="G54" s="14"/>
      <c r="H54" s="15" t="str">
        <f t="shared" si="2"/>
        <v/>
      </c>
      <c r="I54" s="16" t="str">
        <f t="shared" si="3"/>
        <v/>
      </c>
      <c r="J54" s="8"/>
    </row>
    <row r="55" spans="2:10" x14ac:dyDescent="0.25">
      <c r="B55" s="10"/>
      <c r="C55" s="17" t="str">
        <f>IF(B55="","",IFERROR(VLOOKUP(B55,'Cadastro de Produtos'!$B:$C,2,0),""))</f>
        <v/>
      </c>
      <c r="D55" s="12"/>
      <c r="E55" s="18"/>
      <c r="F55" s="10"/>
      <c r="G55" s="18"/>
      <c r="H55" s="19" t="str">
        <f t="shared" si="2"/>
        <v/>
      </c>
      <c r="I55" s="20" t="str">
        <f t="shared" si="3"/>
        <v/>
      </c>
      <c r="J55" s="11"/>
    </row>
    <row r="56" spans="2:10" x14ac:dyDescent="0.25">
      <c r="B56" s="7"/>
      <c r="C56" s="13" t="str">
        <f>IF(B56="","",IFERROR(VLOOKUP(B56,'Cadastro de Produtos'!$B:$C,2,0),""))</f>
        <v/>
      </c>
      <c r="D56" s="9"/>
      <c r="E56" s="14"/>
      <c r="F56" s="7"/>
      <c r="G56" s="14"/>
      <c r="H56" s="15" t="str">
        <f t="shared" si="2"/>
        <v/>
      </c>
      <c r="I56" s="16" t="str">
        <f t="shared" si="3"/>
        <v/>
      </c>
      <c r="J56" s="8"/>
    </row>
    <row r="57" spans="2:10" x14ac:dyDescent="0.25">
      <c r="B57" s="10"/>
      <c r="C57" s="17" t="str">
        <f>IF(B57="","",IFERROR(VLOOKUP(B57,'Cadastro de Produtos'!$B:$C,2,0),""))</f>
        <v/>
      </c>
      <c r="D57" s="12"/>
      <c r="E57" s="18"/>
      <c r="F57" s="10"/>
      <c r="G57" s="18"/>
      <c r="H57" s="19" t="str">
        <f t="shared" si="2"/>
        <v/>
      </c>
      <c r="I57" s="20" t="str">
        <f t="shared" si="3"/>
        <v/>
      </c>
      <c r="J57" s="11"/>
    </row>
    <row r="58" spans="2:10" x14ac:dyDescent="0.25">
      <c r="B58" s="7"/>
      <c r="C58" s="13" t="str">
        <f>IF(B58="","",IFERROR(VLOOKUP(B58,'Cadastro de Produtos'!$B:$C,2,0),""))</f>
        <v/>
      </c>
      <c r="D58" s="9"/>
      <c r="E58" s="14"/>
      <c r="F58" s="7"/>
      <c r="G58" s="14"/>
      <c r="H58" s="15" t="str">
        <f t="shared" si="2"/>
        <v/>
      </c>
      <c r="I58" s="16" t="str">
        <f t="shared" si="3"/>
        <v/>
      </c>
      <c r="J58" s="8"/>
    </row>
    <row r="59" spans="2:10" x14ac:dyDescent="0.25">
      <c r="B59" s="10"/>
      <c r="C59" s="17" t="str">
        <f>IF(B59="","",IFERROR(VLOOKUP(B59,'Cadastro de Produtos'!$B:$C,2,0),""))</f>
        <v/>
      </c>
      <c r="D59" s="12"/>
      <c r="E59" s="18"/>
      <c r="F59" s="10"/>
      <c r="G59" s="18"/>
      <c r="H59" s="19" t="str">
        <f t="shared" si="2"/>
        <v/>
      </c>
      <c r="I59" s="20" t="str">
        <f t="shared" si="3"/>
        <v/>
      </c>
      <c r="J59" s="11"/>
    </row>
    <row r="60" spans="2:10" x14ac:dyDescent="0.25">
      <c r="B60" s="7"/>
      <c r="C60" s="13" t="str">
        <f>IF(B60="","",IFERROR(VLOOKUP(B60,'Cadastro de Produtos'!$B:$C,2,0),""))</f>
        <v/>
      </c>
      <c r="D60" s="9"/>
      <c r="E60" s="14"/>
      <c r="F60" s="7"/>
      <c r="G60" s="14"/>
      <c r="H60" s="15" t="str">
        <f t="shared" si="2"/>
        <v/>
      </c>
      <c r="I60" s="16" t="str">
        <f t="shared" si="3"/>
        <v/>
      </c>
      <c r="J60" s="8"/>
    </row>
    <row r="61" spans="2:10" x14ac:dyDescent="0.25">
      <c r="B61" s="10"/>
      <c r="C61" s="17" t="str">
        <f>IF(B61="","",IFERROR(VLOOKUP(B61,'Cadastro de Produtos'!$B:$C,2,0),""))</f>
        <v/>
      </c>
      <c r="D61" s="12"/>
      <c r="E61" s="18"/>
      <c r="F61" s="10"/>
      <c r="G61" s="18"/>
      <c r="H61" s="19" t="str">
        <f t="shared" si="2"/>
        <v/>
      </c>
      <c r="I61" s="20" t="str">
        <f t="shared" si="3"/>
        <v/>
      </c>
      <c r="J61" s="11"/>
    </row>
    <row r="62" spans="2:10" x14ac:dyDescent="0.25">
      <c r="B62" s="7"/>
      <c r="C62" s="13" t="str">
        <f>IF(B62="","",IFERROR(VLOOKUP(B62,'Cadastro de Produtos'!$B:$C,2,0),""))</f>
        <v/>
      </c>
      <c r="D62" s="9"/>
      <c r="E62" s="14"/>
      <c r="F62" s="7"/>
      <c r="G62" s="14"/>
      <c r="H62" s="15" t="str">
        <f t="shared" si="2"/>
        <v/>
      </c>
      <c r="I62" s="16" t="str">
        <f t="shared" si="3"/>
        <v/>
      </c>
      <c r="J62" s="8"/>
    </row>
    <row r="63" spans="2:10" x14ac:dyDescent="0.25">
      <c r="B63" s="10"/>
      <c r="C63" s="17" t="str">
        <f>IF(B63="","",IFERROR(VLOOKUP(B63,'Cadastro de Produtos'!$B:$C,2,0),""))</f>
        <v/>
      </c>
      <c r="D63" s="12"/>
      <c r="E63" s="18"/>
      <c r="F63" s="10"/>
      <c r="G63" s="18"/>
      <c r="H63" s="19" t="str">
        <f t="shared" si="2"/>
        <v/>
      </c>
      <c r="I63" s="20" t="str">
        <f t="shared" si="3"/>
        <v/>
      </c>
      <c r="J63" s="11"/>
    </row>
    <row r="64" spans="2:10" x14ac:dyDescent="0.25">
      <c r="B64" s="7"/>
      <c r="C64" s="13" t="str">
        <f>IF(B64="","",IFERROR(VLOOKUP(B64,'Cadastro de Produtos'!$B:$C,2,0),""))</f>
        <v/>
      </c>
      <c r="D64" s="9"/>
      <c r="E64" s="14"/>
      <c r="F64" s="7"/>
      <c r="G64" s="14"/>
      <c r="H64" s="15" t="str">
        <f t="shared" si="2"/>
        <v/>
      </c>
      <c r="I64" s="16" t="str">
        <f t="shared" si="3"/>
        <v/>
      </c>
      <c r="J64" s="8"/>
    </row>
    <row r="65" spans="2:10" x14ac:dyDescent="0.25">
      <c r="B65" s="10"/>
      <c r="C65" s="17" t="str">
        <f>IF(B65="","",IFERROR(VLOOKUP(B65,'Cadastro de Produtos'!$B:$C,2,0),""))</f>
        <v/>
      </c>
      <c r="D65" s="12"/>
      <c r="E65" s="18"/>
      <c r="F65" s="10"/>
      <c r="G65" s="18"/>
      <c r="H65" s="19" t="str">
        <f t="shared" si="2"/>
        <v/>
      </c>
      <c r="I65" s="20" t="str">
        <f t="shared" si="3"/>
        <v/>
      </c>
      <c r="J65" s="11"/>
    </row>
  </sheetData>
  <sheetProtection sheet="1" autoFilter="0"/>
  <mergeCells count="2">
    <mergeCell ref="B2:J2"/>
    <mergeCell ref="B3:J3"/>
  </mergeCells>
  <conditionalFormatting sqref="B6:J65">
    <cfRule type="expression" dxfId="35" priority="2">
      <formula>$J6="✅ Sim"</formula>
    </cfRule>
    <cfRule type="expression" dxfId="34" priority="3">
      <formula>AND($H6&lt;&gt;"",$H6&gt;0)</formula>
    </cfRule>
    <cfRule type="expression" dxfId="33" priority="4">
      <formula>AND($H6&lt;&gt;"",$H6&lt;0)</formula>
    </cfRule>
  </conditionalFormatting>
  <dataValidations count="1">
    <dataValidation type="list" allowBlank="1" showErrorMessage="1" errorTitle="Opção inválida" error="Escolha uma opção da lista suspensa." sqref="J6:J65" xr:uid="{00000000-0002-0000-0300-000002000000}">
      <formula1>"❌ Não,✅ Sim"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Produto inválido" error="Escolha um produto da lista suspensa. Se não aparece, cadastre-o primeiro na aba Cadastro de Produtos." xr:uid="{00000000-0002-0000-0300-000000000000}">
          <x14:formula1>
            <xm:f>'Cadastro de Produtos'!$B$6:$B$65</xm:f>
          </x14:formula1>
          <x14:formula2>
            <xm:f>0</xm:f>
          </x14:formula2>
          <xm:sqref>B6:B65</xm:sqref>
        </x14:dataValidation>
        <x14:dataValidation type="list" allowBlank="1" showErrorMessage="1" errorTitle="Mercado inválido" error="Escolha um mercado da lista suspensa. Se não aparece, cadastre-o primeiro na aba Cadastro de Produtos." xr:uid="{00000000-0002-0000-0300-000001000000}">
          <x14:formula1>
            <xm:f>'Cadastro de Produtos'!$F$6:$F$25</xm:f>
          </x14:formula1>
          <x14:formula2>
            <xm:f>0</xm:f>
          </x14:formula2>
          <xm:sqref>F6:F65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7109375" defaultRowHeight="15" x14ac:dyDescent="0.25"/>
  <cols>
    <col min="1" max="1" width="3" customWidth="1"/>
    <col min="2" max="2" width="22" customWidth="1"/>
    <col min="3" max="3" width="14" customWidth="1"/>
    <col min="4" max="4" width="11" customWidth="1"/>
    <col min="5" max="5" width="13" customWidth="1"/>
    <col min="6" max="6" width="16" customWidth="1"/>
    <col min="7" max="7" width="15" customWidth="1"/>
    <col min="8" max="8" width="13" customWidth="1"/>
    <col min="9" max="9" width="14" customWidth="1"/>
    <col min="10" max="10" width="12" customWidth="1"/>
  </cols>
  <sheetData>
    <row r="2" spans="2:10" ht="27.75" customHeight="1" x14ac:dyDescent="0.25">
      <c r="B2" s="58" t="s">
        <v>65</v>
      </c>
      <c r="C2" s="58"/>
      <c r="D2" s="58"/>
      <c r="E2" s="58"/>
      <c r="F2" s="58"/>
      <c r="G2" s="58"/>
      <c r="H2" s="58"/>
      <c r="I2" s="58"/>
      <c r="J2" s="58"/>
    </row>
    <row r="3" spans="2:10" ht="19.5" customHeight="1" x14ac:dyDescent="0.25">
      <c r="B3" s="57" t="s">
        <v>55</v>
      </c>
      <c r="C3" s="57"/>
      <c r="D3" s="57"/>
      <c r="E3" s="57"/>
      <c r="F3" s="57"/>
      <c r="G3" s="57"/>
      <c r="H3" s="57"/>
      <c r="I3" s="57"/>
      <c r="J3" s="57"/>
    </row>
    <row r="5" spans="2:10" ht="24" x14ac:dyDescent="0.25">
      <c r="B5" s="6" t="s">
        <v>38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61</v>
      </c>
      <c r="I5" s="6" t="s">
        <v>62</v>
      </c>
      <c r="J5" s="6" t="s">
        <v>63</v>
      </c>
    </row>
    <row r="6" spans="2:10" x14ac:dyDescent="0.25">
      <c r="B6" s="7"/>
      <c r="C6" s="13" t="str">
        <f>IF(B6="","",IFERROR(VLOOKUP(B6,'Cadastro de Produtos'!$B:$C,2,0),""))</f>
        <v/>
      </c>
      <c r="D6" s="9"/>
      <c r="E6" s="14"/>
      <c r="F6" s="7"/>
      <c r="G6" s="14"/>
      <c r="H6" s="15" t="str">
        <f t="shared" ref="H6:H37" si="0">IF(B6="","",IF(OR(E6="",G6="",G6=0),"",(E6-G6)/G6))</f>
        <v/>
      </c>
      <c r="I6" s="16" t="str">
        <f t="shared" ref="I6:I37" si="1">IF(B6="","",IF(D6="","",D6*E6))</f>
        <v/>
      </c>
      <c r="J6" s="8"/>
    </row>
    <row r="7" spans="2:10" x14ac:dyDescent="0.25">
      <c r="B7" s="10"/>
      <c r="C7" s="17" t="str">
        <f>IF(B7="","",IFERROR(VLOOKUP(B7,'Cadastro de Produtos'!$B:$C,2,0),""))</f>
        <v/>
      </c>
      <c r="D7" s="12"/>
      <c r="E7" s="18"/>
      <c r="F7" s="10"/>
      <c r="G7" s="18"/>
      <c r="H7" s="19" t="str">
        <f t="shared" si="0"/>
        <v/>
      </c>
      <c r="I7" s="20" t="str">
        <f t="shared" si="1"/>
        <v/>
      </c>
      <c r="J7" s="11"/>
    </row>
    <row r="8" spans="2:10" x14ac:dyDescent="0.25">
      <c r="B8" s="7"/>
      <c r="C8" s="13" t="str">
        <f>IF(B8="","",IFERROR(VLOOKUP(B8,'Cadastro de Produtos'!$B:$C,2,0),""))</f>
        <v/>
      </c>
      <c r="D8" s="9"/>
      <c r="E8" s="14"/>
      <c r="F8" s="7"/>
      <c r="G8" s="14"/>
      <c r="H8" s="15" t="str">
        <f t="shared" si="0"/>
        <v/>
      </c>
      <c r="I8" s="16" t="str">
        <f t="shared" si="1"/>
        <v/>
      </c>
      <c r="J8" s="8"/>
    </row>
    <row r="9" spans="2:10" x14ac:dyDescent="0.25">
      <c r="B9" s="10"/>
      <c r="C9" s="17" t="str">
        <f>IF(B9="","",IFERROR(VLOOKUP(B9,'Cadastro de Produtos'!$B:$C,2,0),""))</f>
        <v/>
      </c>
      <c r="D9" s="12"/>
      <c r="E9" s="18"/>
      <c r="F9" s="10"/>
      <c r="G9" s="18"/>
      <c r="H9" s="19" t="str">
        <f t="shared" si="0"/>
        <v/>
      </c>
      <c r="I9" s="20" t="str">
        <f t="shared" si="1"/>
        <v/>
      </c>
      <c r="J9" s="11"/>
    </row>
    <row r="10" spans="2:10" x14ac:dyDescent="0.25">
      <c r="B10" s="7"/>
      <c r="C10" s="13" t="str">
        <f>IF(B10="","",IFERROR(VLOOKUP(B10,'Cadastro de Produtos'!$B:$C,2,0),""))</f>
        <v/>
      </c>
      <c r="D10" s="9"/>
      <c r="E10" s="14"/>
      <c r="F10" s="7"/>
      <c r="G10" s="14"/>
      <c r="H10" s="15" t="str">
        <f t="shared" si="0"/>
        <v/>
      </c>
      <c r="I10" s="16" t="str">
        <f t="shared" si="1"/>
        <v/>
      </c>
      <c r="J10" s="8"/>
    </row>
    <row r="11" spans="2:10" x14ac:dyDescent="0.25">
      <c r="B11" s="10"/>
      <c r="C11" s="17" t="str">
        <f>IF(B11="","",IFERROR(VLOOKUP(B11,'Cadastro de Produtos'!$B:$C,2,0),""))</f>
        <v/>
      </c>
      <c r="D11" s="12"/>
      <c r="E11" s="18"/>
      <c r="F11" s="10"/>
      <c r="G11" s="18"/>
      <c r="H11" s="19" t="str">
        <f t="shared" si="0"/>
        <v/>
      </c>
      <c r="I11" s="20" t="str">
        <f t="shared" si="1"/>
        <v/>
      </c>
      <c r="J11" s="11"/>
    </row>
    <row r="12" spans="2:10" x14ac:dyDescent="0.25">
      <c r="B12" s="7"/>
      <c r="C12" s="13" t="str">
        <f>IF(B12="","",IFERROR(VLOOKUP(B12,'Cadastro de Produtos'!$B:$C,2,0),""))</f>
        <v/>
      </c>
      <c r="D12" s="9"/>
      <c r="E12" s="14"/>
      <c r="F12" s="7"/>
      <c r="G12" s="14"/>
      <c r="H12" s="15" t="str">
        <f t="shared" si="0"/>
        <v/>
      </c>
      <c r="I12" s="16" t="str">
        <f t="shared" si="1"/>
        <v/>
      </c>
      <c r="J12" s="8"/>
    </row>
    <row r="13" spans="2:10" x14ac:dyDescent="0.25">
      <c r="B13" s="10"/>
      <c r="C13" s="17" t="str">
        <f>IF(B13="","",IFERROR(VLOOKUP(B13,'Cadastro de Produtos'!$B:$C,2,0),""))</f>
        <v/>
      </c>
      <c r="D13" s="12"/>
      <c r="E13" s="18"/>
      <c r="F13" s="10"/>
      <c r="G13" s="18"/>
      <c r="H13" s="19" t="str">
        <f t="shared" si="0"/>
        <v/>
      </c>
      <c r="I13" s="20" t="str">
        <f t="shared" si="1"/>
        <v/>
      </c>
      <c r="J13" s="11"/>
    </row>
    <row r="14" spans="2:10" x14ac:dyDescent="0.25">
      <c r="B14" s="7"/>
      <c r="C14" s="13" t="str">
        <f>IF(B14="","",IFERROR(VLOOKUP(B14,'Cadastro de Produtos'!$B:$C,2,0),""))</f>
        <v/>
      </c>
      <c r="D14" s="9"/>
      <c r="E14" s="14"/>
      <c r="F14" s="7"/>
      <c r="G14" s="14"/>
      <c r="H14" s="15" t="str">
        <f t="shared" si="0"/>
        <v/>
      </c>
      <c r="I14" s="16" t="str">
        <f t="shared" si="1"/>
        <v/>
      </c>
      <c r="J14" s="8"/>
    </row>
    <row r="15" spans="2:10" x14ac:dyDescent="0.25">
      <c r="B15" s="10"/>
      <c r="C15" s="17" t="str">
        <f>IF(B15="","",IFERROR(VLOOKUP(B15,'Cadastro de Produtos'!$B:$C,2,0),""))</f>
        <v/>
      </c>
      <c r="D15" s="12"/>
      <c r="E15" s="18"/>
      <c r="F15" s="10"/>
      <c r="G15" s="18"/>
      <c r="H15" s="19" t="str">
        <f t="shared" si="0"/>
        <v/>
      </c>
      <c r="I15" s="20" t="str">
        <f t="shared" si="1"/>
        <v/>
      </c>
      <c r="J15" s="11"/>
    </row>
    <row r="16" spans="2:10" x14ac:dyDescent="0.25">
      <c r="B16" s="7"/>
      <c r="C16" s="13" t="str">
        <f>IF(B16="","",IFERROR(VLOOKUP(B16,'Cadastro de Produtos'!$B:$C,2,0),""))</f>
        <v/>
      </c>
      <c r="D16" s="9"/>
      <c r="E16" s="14"/>
      <c r="F16" s="7"/>
      <c r="G16" s="14"/>
      <c r="H16" s="15" t="str">
        <f t="shared" si="0"/>
        <v/>
      </c>
      <c r="I16" s="16" t="str">
        <f t="shared" si="1"/>
        <v/>
      </c>
      <c r="J16" s="8"/>
    </row>
    <row r="17" spans="2:10" x14ac:dyDescent="0.25">
      <c r="B17" s="10"/>
      <c r="C17" s="17" t="str">
        <f>IF(B17="","",IFERROR(VLOOKUP(B17,'Cadastro de Produtos'!$B:$C,2,0),""))</f>
        <v/>
      </c>
      <c r="D17" s="12"/>
      <c r="E17" s="18"/>
      <c r="F17" s="10"/>
      <c r="G17" s="18"/>
      <c r="H17" s="19" t="str">
        <f t="shared" si="0"/>
        <v/>
      </c>
      <c r="I17" s="20" t="str">
        <f t="shared" si="1"/>
        <v/>
      </c>
      <c r="J17" s="11"/>
    </row>
    <row r="18" spans="2:10" x14ac:dyDescent="0.25">
      <c r="B18" s="7"/>
      <c r="C18" s="13" t="str">
        <f>IF(B18="","",IFERROR(VLOOKUP(B18,'Cadastro de Produtos'!$B:$C,2,0),""))</f>
        <v/>
      </c>
      <c r="D18" s="9"/>
      <c r="E18" s="14"/>
      <c r="F18" s="7"/>
      <c r="G18" s="14"/>
      <c r="H18" s="15" t="str">
        <f t="shared" si="0"/>
        <v/>
      </c>
      <c r="I18" s="16" t="str">
        <f t="shared" si="1"/>
        <v/>
      </c>
      <c r="J18" s="8"/>
    </row>
    <row r="19" spans="2:10" x14ac:dyDescent="0.25">
      <c r="B19" s="10"/>
      <c r="C19" s="17" t="str">
        <f>IF(B19="","",IFERROR(VLOOKUP(B19,'Cadastro de Produtos'!$B:$C,2,0),""))</f>
        <v/>
      </c>
      <c r="D19" s="12"/>
      <c r="E19" s="18"/>
      <c r="F19" s="10"/>
      <c r="G19" s="18"/>
      <c r="H19" s="19" t="str">
        <f t="shared" si="0"/>
        <v/>
      </c>
      <c r="I19" s="20" t="str">
        <f t="shared" si="1"/>
        <v/>
      </c>
      <c r="J19" s="11"/>
    </row>
    <row r="20" spans="2:10" x14ac:dyDescent="0.25">
      <c r="B20" s="7"/>
      <c r="C20" s="13" t="str">
        <f>IF(B20="","",IFERROR(VLOOKUP(B20,'Cadastro de Produtos'!$B:$C,2,0),""))</f>
        <v/>
      </c>
      <c r="D20" s="9"/>
      <c r="E20" s="14"/>
      <c r="F20" s="7"/>
      <c r="G20" s="14"/>
      <c r="H20" s="15" t="str">
        <f t="shared" si="0"/>
        <v/>
      </c>
      <c r="I20" s="16" t="str">
        <f t="shared" si="1"/>
        <v/>
      </c>
      <c r="J20" s="8"/>
    </row>
    <row r="21" spans="2:10" x14ac:dyDescent="0.25">
      <c r="B21" s="10"/>
      <c r="C21" s="17" t="str">
        <f>IF(B21="","",IFERROR(VLOOKUP(B21,'Cadastro de Produtos'!$B:$C,2,0),""))</f>
        <v/>
      </c>
      <c r="D21" s="12"/>
      <c r="E21" s="18"/>
      <c r="F21" s="10"/>
      <c r="G21" s="18"/>
      <c r="H21" s="19" t="str">
        <f t="shared" si="0"/>
        <v/>
      </c>
      <c r="I21" s="20" t="str">
        <f t="shared" si="1"/>
        <v/>
      </c>
      <c r="J21" s="11"/>
    </row>
    <row r="22" spans="2:10" x14ac:dyDescent="0.25">
      <c r="B22" s="7"/>
      <c r="C22" s="13" t="str">
        <f>IF(B22="","",IFERROR(VLOOKUP(B22,'Cadastro de Produtos'!$B:$C,2,0),""))</f>
        <v/>
      </c>
      <c r="D22" s="9"/>
      <c r="E22" s="14"/>
      <c r="F22" s="7"/>
      <c r="G22" s="14"/>
      <c r="H22" s="15" t="str">
        <f t="shared" si="0"/>
        <v/>
      </c>
      <c r="I22" s="16" t="str">
        <f t="shared" si="1"/>
        <v/>
      </c>
      <c r="J22" s="8"/>
    </row>
    <row r="23" spans="2:10" x14ac:dyDescent="0.25">
      <c r="B23" s="10"/>
      <c r="C23" s="17" t="str">
        <f>IF(B23="","",IFERROR(VLOOKUP(B23,'Cadastro de Produtos'!$B:$C,2,0),""))</f>
        <v/>
      </c>
      <c r="D23" s="12"/>
      <c r="E23" s="18"/>
      <c r="F23" s="10"/>
      <c r="G23" s="18"/>
      <c r="H23" s="19" t="str">
        <f t="shared" si="0"/>
        <v/>
      </c>
      <c r="I23" s="20" t="str">
        <f t="shared" si="1"/>
        <v/>
      </c>
      <c r="J23" s="11"/>
    </row>
    <row r="24" spans="2:10" x14ac:dyDescent="0.25">
      <c r="B24" s="7"/>
      <c r="C24" s="13" t="str">
        <f>IF(B24="","",IFERROR(VLOOKUP(B24,'Cadastro de Produtos'!$B:$C,2,0),""))</f>
        <v/>
      </c>
      <c r="D24" s="9"/>
      <c r="E24" s="14"/>
      <c r="F24" s="7"/>
      <c r="G24" s="14"/>
      <c r="H24" s="15" t="str">
        <f t="shared" si="0"/>
        <v/>
      </c>
      <c r="I24" s="16" t="str">
        <f t="shared" si="1"/>
        <v/>
      </c>
      <c r="J24" s="8"/>
    </row>
    <row r="25" spans="2:10" x14ac:dyDescent="0.25">
      <c r="B25" s="10"/>
      <c r="C25" s="17" t="str">
        <f>IF(B25="","",IFERROR(VLOOKUP(B25,'Cadastro de Produtos'!$B:$C,2,0),""))</f>
        <v/>
      </c>
      <c r="D25" s="12"/>
      <c r="E25" s="18"/>
      <c r="F25" s="10"/>
      <c r="G25" s="18"/>
      <c r="H25" s="19" t="str">
        <f t="shared" si="0"/>
        <v/>
      </c>
      <c r="I25" s="20" t="str">
        <f t="shared" si="1"/>
        <v/>
      </c>
      <c r="J25" s="11"/>
    </row>
    <row r="26" spans="2:10" x14ac:dyDescent="0.25">
      <c r="B26" s="7"/>
      <c r="C26" s="13" t="str">
        <f>IF(B26="","",IFERROR(VLOOKUP(B26,'Cadastro de Produtos'!$B:$C,2,0),""))</f>
        <v/>
      </c>
      <c r="D26" s="9"/>
      <c r="E26" s="14"/>
      <c r="F26" s="7"/>
      <c r="G26" s="14"/>
      <c r="H26" s="15" t="str">
        <f t="shared" si="0"/>
        <v/>
      </c>
      <c r="I26" s="16" t="str">
        <f t="shared" si="1"/>
        <v/>
      </c>
      <c r="J26" s="8"/>
    </row>
    <row r="27" spans="2:10" x14ac:dyDescent="0.25">
      <c r="B27" s="10"/>
      <c r="C27" s="17" t="str">
        <f>IF(B27="","",IFERROR(VLOOKUP(B27,'Cadastro de Produtos'!$B:$C,2,0),""))</f>
        <v/>
      </c>
      <c r="D27" s="12"/>
      <c r="E27" s="18"/>
      <c r="F27" s="10"/>
      <c r="G27" s="18"/>
      <c r="H27" s="19" t="str">
        <f t="shared" si="0"/>
        <v/>
      </c>
      <c r="I27" s="20" t="str">
        <f t="shared" si="1"/>
        <v/>
      </c>
      <c r="J27" s="11"/>
    </row>
    <row r="28" spans="2:10" x14ac:dyDescent="0.25">
      <c r="B28" s="7"/>
      <c r="C28" s="13" t="str">
        <f>IF(B28="","",IFERROR(VLOOKUP(B28,'Cadastro de Produtos'!$B:$C,2,0),""))</f>
        <v/>
      </c>
      <c r="D28" s="9"/>
      <c r="E28" s="14"/>
      <c r="F28" s="7"/>
      <c r="G28" s="14"/>
      <c r="H28" s="15" t="str">
        <f t="shared" si="0"/>
        <v/>
      </c>
      <c r="I28" s="16" t="str">
        <f t="shared" si="1"/>
        <v/>
      </c>
      <c r="J28" s="8"/>
    </row>
    <row r="29" spans="2:10" x14ac:dyDescent="0.25">
      <c r="B29" s="10"/>
      <c r="C29" s="17" t="str">
        <f>IF(B29="","",IFERROR(VLOOKUP(B29,'Cadastro de Produtos'!$B:$C,2,0),""))</f>
        <v/>
      </c>
      <c r="D29" s="12"/>
      <c r="E29" s="18"/>
      <c r="F29" s="10"/>
      <c r="G29" s="18"/>
      <c r="H29" s="19" t="str">
        <f t="shared" si="0"/>
        <v/>
      </c>
      <c r="I29" s="20" t="str">
        <f t="shared" si="1"/>
        <v/>
      </c>
      <c r="J29" s="11"/>
    </row>
    <row r="30" spans="2:10" x14ac:dyDescent="0.25">
      <c r="B30" s="7"/>
      <c r="C30" s="13" t="str">
        <f>IF(B30="","",IFERROR(VLOOKUP(B30,'Cadastro de Produtos'!$B:$C,2,0),""))</f>
        <v/>
      </c>
      <c r="D30" s="9"/>
      <c r="E30" s="14"/>
      <c r="F30" s="7"/>
      <c r="G30" s="14"/>
      <c r="H30" s="15" t="str">
        <f t="shared" si="0"/>
        <v/>
      </c>
      <c r="I30" s="16" t="str">
        <f t="shared" si="1"/>
        <v/>
      </c>
      <c r="J30" s="8"/>
    </row>
    <row r="31" spans="2:10" x14ac:dyDescent="0.25">
      <c r="B31" s="10"/>
      <c r="C31" s="17" t="str">
        <f>IF(B31="","",IFERROR(VLOOKUP(B31,'Cadastro de Produtos'!$B:$C,2,0),""))</f>
        <v/>
      </c>
      <c r="D31" s="12"/>
      <c r="E31" s="18"/>
      <c r="F31" s="10"/>
      <c r="G31" s="18"/>
      <c r="H31" s="19" t="str">
        <f t="shared" si="0"/>
        <v/>
      </c>
      <c r="I31" s="20" t="str">
        <f t="shared" si="1"/>
        <v/>
      </c>
      <c r="J31" s="11"/>
    </row>
    <row r="32" spans="2:10" x14ac:dyDescent="0.25">
      <c r="B32" s="7"/>
      <c r="C32" s="13" t="str">
        <f>IF(B32="","",IFERROR(VLOOKUP(B32,'Cadastro de Produtos'!$B:$C,2,0),""))</f>
        <v/>
      </c>
      <c r="D32" s="9"/>
      <c r="E32" s="14"/>
      <c r="F32" s="7"/>
      <c r="G32" s="14"/>
      <c r="H32" s="15" t="str">
        <f t="shared" si="0"/>
        <v/>
      </c>
      <c r="I32" s="16" t="str">
        <f t="shared" si="1"/>
        <v/>
      </c>
      <c r="J32" s="8"/>
    </row>
    <row r="33" spans="2:10" x14ac:dyDescent="0.25">
      <c r="B33" s="10"/>
      <c r="C33" s="17" t="str">
        <f>IF(B33="","",IFERROR(VLOOKUP(B33,'Cadastro de Produtos'!$B:$C,2,0),""))</f>
        <v/>
      </c>
      <c r="D33" s="12"/>
      <c r="E33" s="18"/>
      <c r="F33" s="10"/>
      <c r="G33" s="18"/>
      <c r="H33" s="19" t="str">
        <f t="shared" si="0"/>
        <v/>
      </c>
      <c r="I33" s="20" t="str">
        <f t="shared" si="1"/>
        <v/>
      </c>
      <c r="J33" s="11"/>
    </row>
    <row r="34" spans="2:10" x14ac:dyDescent="0.25">
      <c r="B34" s="7"/>
      <c r="C34" s="13" t="str">
        <f>IF(B34="","",IFERROR(VLOOKUP(B34,'Cadastro de Produtos'!$B:$C,2,0),""))</f>
        <v/>
      </c>
      <c r="D34" s="9"/>
      <c r="E34" s="14"/>
      <c r="F34" s="7"/>
      <c r="G34" s="14"/>
      <c r="H34" s="15" t="str">
        <f t="shared" si="0"/>
        <v/>
      </c>
      <c r="I34" s="16" t="str">
        <f t="shared" si="1"/>
        <v/>
      </c>
      <c r="J34" s="8"/>
    </row>
    <row r="35" spans="2:10" x14ac:dyDescent="0.25">
      <c r="B35" s="10"/>
      <c r="C35" s="17" t="str">
        <f>IF(B35="","",IFERROR(VLOOKUP(B35,'Cadastro de Produtos'!$B:$C,2,0),""))</f>
        <v/>
      </c>
      <c r="D35" s="12"/>
      <c r="E35" s="18"/>
      <c r="F35" s="10"/>
      <c r="G35" s="18"/>
      <c r="H35" s="19" t="str">
        <f t="shared" si="0"/>
        <v/>
      </c>
      <c r="I35" s="20" t="str">
        <f t="shared" si="1"/>
        <v/>
      </c>
      <c r="J35" s="11"/>
    </row>
    <row r="36" spans="2:10" x14ac:dyDescent="0.25">
      <c r="B36" s="7"/>
      <c r="C36" s="13" t="str">
        <f>IF(B36="","",IFERROR(VLOOKUP(B36,'Cadastro de Produtos'!$B:$C,2,0),""))</f>
        <v/>
      </c>
      <c r="D36" s="9"/>
      <c r="E36" s="14"/>
      <c r="F36" s="7"/>
      <c r="G36" s="14"/>
      <c r="H36" s="15" t="str">
        <f t="shared" si="0"/>
        <v/>
      </c>
      <c r="I36" s="16" t="str">
        <f t="shared" si="1"/>
        <v/>
      </c>
      <c r="J36" s="8"/>
    </row>
    <row r="37" spans="2:10" x14ac:dyDescent="0.25">
      <c r="B37" s="10"/>
      <c r="C37" s="17" t="str">
        <f>IF(B37="","",IFERROR(VLOOKUP(B37,'Cadastro de Produtos'!$B:$C,2,0),""))</f>
        <v/>
      </c>
      <c r="D37" s="12"/>
      <c r="E37" s="18"/>
      <c r="F37" s="10"/>
      <c r="G37" s="18"/>
      <c r="H37" s="19" t="str">
        <f t="shared" si="0"/>
        <v/>
      </c>
      <c r="I37" s="20" t="str">
        <f t="shared" si="1"/>
        <v/>
      </c>
      <c r="J37" s="11"/>
    </row>
    <row r="38" spans="2:10" x14ac:dyDescent="0.25">
      <c r="B38" s="7"/>
      <c r="C38" s="13" t="str">
        <f>IF(B38="","",IFERROR(VLOOKUP(B38,'Cadastro de Produtos'!$B:$C,2,0),""))</f>
        <v/>
      </c>
      <c r="D38" s="9"/>
      <c r="E38" s="14"/>
      <c r="F38" s="7"/>
      <c r="G38" s="14"/>
      <c r="H38" s="15" t="str">
        <f t="shared" ref="H38:H65" si="2">IF(B38="","",IF(OR(E38="",G38="",G38=0),"",(E38-G38)/G38))</f>
        <v/>
      </c>
      <c r="I38" s="16" t="str">
        <f t="shared" ref="I38:I65" si="3">IF(B38="","",IF(D38="","",D38*E38))</f>
        <v/>
      </c>
      <c r="J38" s="8"/>
    </row>
    <row r="39" spans="2:10" x14ac:dyDescent="0.25">
      <c r="B39" s="10"/>
      <c r="C39" s="17" t="str">
        <f>IF(B39="","",IFERROR(VLOOKUP(B39,'Cadastro de Produtos'!$B:$C,2,0),""))</f>
        <v/>
      </c>
      <c r="D39" s="12"/>
      <c r="E39" s="18"/>
      <c r="F39" s="10"/>
      <c r="G39" s="18"/>
      <c r="H39" s="19" t="str">
        <f t="shared" si="2"/>
        <v/>
      </c>
      <c r="I39" s="20" t="str">
        <f t="shared" si="3"/>
        <v/>
      </c>
      <c r="J39" s="11"/>
    </row>
    <row r="40" spans="2:10" x14ac:dyDescent="0.25">
      <c r="B40" s="7"/>
      <c r="C40" s="13" t="str">
        <f>IF(B40="","",IFERROR(VLOOKUP(B40,'Cadastro de Produtos'!$B:$C,2,0),""))</f>
        <v/>
      </c>
      <c r="D40" s="9"/>
      <c r="E40" s="14"/>
      <c r="F40" s="7"/>
      <c r="G40" s="14"/>
      <c r="H40" s="15" t="str">
        <f t="shared" si="2"/>
        <v/>
      </c>
      <c r="I40" s="16" t="str">
        <f t="shared" si="3"/>
        <v/>
      </c>
      <c r="J40" s="8"/>
    </row>
    <row r="41" spans="2:10" x14ac:dyDescent="0.25">
      <c r="B41" s="10"/>
      <c r="C41" s="17" t="str">
        <f>IF(B41="","",IFERROR(VLOOKUP(B41,'Cadastro de Produtos'!$B:$C,2,0),""))</f>
        <v/>
      </c>
      <c r="D41" s="12"/>
      <c r="E41" s="18"/>
      <c r="F41" s="10"/>
      <c r="G41" s="18"/>
      <c r="H41" s="19" t="str">
        <f t="shared" si="2"/>
        <v/>
      </c>
      <c r="I41" s="20" t="str">
        <f t="shared" si="3"/>
        <v/>
      </c>
      <c r="J41" s="11"/>
    </row>
    <row r="42" spans="2:10" x14ac:dyDescent="0.25">
      <c r="B42" s="7"/>
      <c r="C42" s="13" t="str">
        <f>IF(B42="","",IFERROR(VLOOKUP(B42,'Cadastro de Produtos'!$B:$C,2,0),""))</f>
        <v/>
      </c>
      <c r="D42" s="9"/>
      <c r="E42" s="14"/>
      <c r="F42" s="7"/>
      <c r="G42" s="14"/>
      <c r="H42" s="15" t="str">
        <f t="shared" si="2"/>
        <v/>
      </c>
      <c r="I42" s="16" t="str">
        <f t="shared" si="3"/>
        <v/>
      </c>
      <c r="J42" s="8"/>
    </row>
    <row r="43" spans="2:10" x14ac:dyDescent="0.25">
      <c r="B43" s="10"/>
      <c r="C43" s="17" t="str">
        <f>IF(B43="","",IFERROR(VLOOKUP(B43,'Cadastro de Produtos'!$B:$C,2,0),""))</f>
        <v/>
      </c>
      <c r="D43" s="12"/>
      <c r="E43" s="18"/>
      <c r="F43" s="10"/>
      <c r="G43" s="18"/>
      <c r="H43" s="19" t="str">
        <f t="shared" si="2"/>
        <v/>
      </c>
      <c r="I43" s="20" t="str">
        <f t="shared" si="3"/>
        <v/>
      </c>
      <c r="J43" s="11"/>
    </row>
    <row r="44" spans="2:10" x14ac:dyDescent="0.25">
      <c r="B44" s="7"/>
      <c r="C44" s="13" t="str">
        <f>IF(B44="","",IFERROR(VLOOKUP(B44,'Cadastro de Produtos'!$B:$C,2,0),""))</f>
        <v/>
      </c>
      <c r="D44" s="9"/>
      <c r="E44" s="14"/>
      <c r="F44" s="7"/>
      <c r="G44" s="14"/>
      <c r="H44" s="15" t="str">
        <f t="shared" si="2"/>
        <v/>
      </c>
      <c r="I44" s="16" t="str">
        <f t="shared" si="3"/>
        <v/>
      </c>
      <c r="J44" s="8"/>
    </row>
    <row r="45" spans="2:10" x14ac:dyDescent="0.25">
      <c r="B45" s="10"/>
      <c r="C45" s="17" t="str">
        <f>IF(B45="","",IFERROR(VLOOKUP(B45,'Cadastro de Produtos'!$B:$C,2,0),""))</f>
        <v/>
      </c>
      <c r="D45" s="12"/>
      <c r="E45" s="18"/>
      <c r="F45" s="10"/>
      <c r="G45" s="18"/>
      <c r="H45" s="19" t="str">
        <f t="shared" si="2"/>
        <v/>
      </c>
      <c r="I45" s="20" t="str">
        <f t="shared" si="3"/>
        <v/>
      </c>
      <c r="J45" s="11"/>
    </row>
    <row r="46" spans="2:10" x14ac:dyDescent="0.25">
      <c r="B46" s="7"/>
      <c r="C46" s="13" t="str">
        <f>IF(B46="","",IFERROR(VLOOKUP(B46,'Cadastro de Produtos'!$B:$C,2,0),""))</f>
        <v/>
      </c>
      <c r="D46" s="9"/>
      <c r="E46" s="14"/>
      <c r="F46" s="7"/>
      <c r="G46" s="14"/>
      <c r="H46" s="15" t="str">
        <f t="shared" si="2"/>
        <v/>
      </c>
      <c r="I46" s="16" t="str">
        <f t="shared" si="3"/>
        <v/>
      </c>
      <c r="J46" s="8"/>
    </row>
    <row r="47" spans="2:10" x14ac:dyDescent="0.25">
      <c r="B47" s="10"/>
      <c r="C47" s="17" t="str">
        <f>IF(B47="","",IFERROR(VLOOKUP(B47,'Cadastro de Produtos'!$B:$C,2,0),""))</f>
        <v/>
      </c>
      <c r="D47" s="12"/>
      <c r="E47" s="18"/>
      <c r="F47" s="10"/>
      <c r="G47" s="18"/>
      <c r="H47" s="19" t="str">
        <f t="shared" si="2"/>
        <v/>
      </c>
      <c r="I47" s="20" t="str">
        <f t="shared" si="3"/>
        <v/>
      </c>
      <c r="J47" s="11"/>
    </row>
    <row r="48" spans="2:10" x14ac:dyDescent="0.25">
      <c r="B48" s="7"/>
      <c r="C48" s="13" t="str">
        <f>IF(B48="","",IFERROR(VLOOKUP(B48,'Cadastro de Produtos'!$B:$C,2,0),""))</f>
        <v/>
      </c>
      <c r="D48" s="9"/>
      <c r="E48" s="14"/>
      <c r="F48" s="7"/>
      <c r="G48" s="14"/>
      <c r="H48" s="15" t="str">
        <f t="shared" si="2"/>
        <v/>
      </c>
      <c r="I48" s="16" t="str">
        <f t="shared" si="3"/>
        <v/>
      </c>
      <c r="J48" s="8"/>
    </row>
    <row r="49" spans="2:10" x14ac:dyDescent="0.25">
      <c r="B49" s="10"/>
      <c r="C49" s="17" t="str">
        <f>IF(B49="","",IFERROR(VLOOKUP(B49,'Cadastro de Produtos'!$B:$C,2,0),""))</f>
        <v/>
      </c>
      <c r="D49" s="12"/>
      <c r="E49" s="18"/>
      <c r="F49" s="10"/>
      <c r="G49" s="18"/>
      <c r="H49" s="19" t="str">
        <f t="shared" si="2"/>
        <v/>
      </c>
      <c r="I49" s="20" t="str">
        <f t="shared" si="3"/>
        <v/>
      </c>
      <c r="J49" s="11"/>
    </row>
    <row r="50" spans="2:10" x14ac:dyDescent="0.25">
      <c r="B50" s="7"/>
      <c r="C50" s="13" t="str">
        <f>IF(B50="","",IFERROR(VLOOKUP(B50,'Cadastro de Produtos'!$B:$C,2,0),""))</f>
        <v/>
      </c>
      <c r="D50" s="9"/>
      <c r="E50" s="14"/>
      <c r="F50" s="7"/>
      <c r="G50" s="14"/>
      <c r="H50" s="15" t="str">
        <f t="shared" si="2"/>
        <v/>
      </c>
      <c r="I50" s="16" t="str">
        <f t="shared" si="3"/>
        <v/>
      </c>
      <c r="J50" s="8"/>
    </row>
    <row r="51" spans="2:10" x14ac:dyDescent="0.25">
      <c r="B51" s="10"/>
      <c r="C51" s="17" t="str">
        <f>IF(B51="","",IFERROR(VLOOKUP(B51,'Cadastro de Produtos'!$B:$C,2,0),""))</f>
        <v/>
      </c>
      <c r="D51" s="12"/>
      <c r="E51" s="18"/>
      <c r="F51" s="10"/>
      <c r="G51" s="18"/>
      <c r="H51" s="19" t="str">
        <f t="shared" si="2"/>
        <v/>
      </c>
      <c r="I51" s="20" t="str">
        <f t="shared" si="3"/>
        <v/>
      </c>
      <c r="J51" s="11"/>
    </row>
    <row r="52" spans="2:10" x14ac:dyDescent="0.25">
      <c r="B52" s="7"/>
      <c r="C52" s="13" t="str">
        <f>IF(B52="","",IFERROR(VLOOKUP(B52,'Cadastro de Produtos'!$B:$C,2,0),""))</f>
        <v/>
      </c>
      <c r="D52" s="9"/>
      <c r="E52" s="14"/>
      <c r="F52" s="7"/>
      <c r="G52" s="14"/>
      <c r="H52" s="15" t="str">
        <f t="shared" si="2"/>
        <v/>
      </c>
      <c r="I52" s="16" t="str">
        <f t="shared" si="3"/>
        <v/>
      </c>
      <c r="J52" s="8"/>
    </row>
    <row r="53" spans="2:10" x14ac:dyDescent="0.25">
      <c r="B53" s="10"/>
      <c r="C53" s="17" t="str">
        <f>IF(B53="","",IFERROR(VLOOKUP(B53,'Cadastro de Produtos'!$B:$C,2,0),""))</f>
        <v/>
      </c>
      <c r="D53" s="12"/>
      <c r="E53" s="18"/>
      <c r="F53" s="10"/>
      <c r="G53" s="18"/>
      <c r="H53" s="19" t="str">
        <f t="shared" si="2"/>
        <v/>
      </c>
      <c r="I53" s="20" t="str">
        <f t="shared" si="3"/>
        <v/>
      </c>
      <c r="J53" s="11"/>
    </row>
    <row r="54" spans="2:10" x14ac:dyDescent="0.25">
      <c r="B54" s="7"/>
      <c r="C54" s="13" t="str">
        <f>IF(B54="","",IFERROR(VLOOKUP(B54,'Cadastro de Produtos'!$B:$C,2,0),""))</f>
        <v/>
      </c>
      <c r="D54" s="9"/>
      <c r="E54" s="14"/>
      <c r="F54" s="7"/>
      <c r="G54" s="14"/>
      <c r="H54" s="15" t="str">
        <f t="shared" si="2"/>
        <v/>
      </c>
      <c r="I54" s="16" t="str">
        <f t="shared" si="3"/>
        <v/>
      </c>
      <c r="J54" s="8"/>
    </row>
    <row r="55" spans="2:10" x14ac:dyDescent="0.25">
      <c r="B55" s="10"/>
      <c r="C55" s="17" t="str">
        <f>IF(B55="","",IFERROR(VLOOKUP(B55,'Cadastro de Produtos'!$B:$C,2,0),""))</f>
        <v/>
      </c>
      <c r="D55" s="12"/>
      <c r="E55" s="18"/>
      <c r="F55" s="10"/>
      <c r="G55" s="18"/>
      <c r="H55" s="19" t="str">
        <f t="shared" si="2"/>
        <v/>
      </c>
      <c r="I55" s="20" t="str">
        <f t="shared" si="3"/>
        <v/>
      </c>
      <c r="J55" s="11"/>
    </row>
    <row r="56" spans="2:10" x14ac:dyDescent="0.25">
      <c r="B56" s="7"/>
      <c r="C56" s="13" t="str">
        <f>IF(B56="","",IFERROR(VLOOKUP(B56,'Cadastro de Produtos'!$B:$C,2,0),""))</f>
        <v/>
      </c>
      <c r="D56" s="9"/>
      <c r="E56" s="14"/>
      <c r="F56" s="7"/>
      <c r="G56" s="14"/>
      <c r="H56" s="15" t="str">
        <f t="shared" si="2"/>
        <v/>
      </c>
      <c r="I56" s="16" t="str">
        <f t="shared" si="3"/>
        <v/>
      </c>
      <c r="J56" s="8"/>
    </row>
    <row r="57" spans="2:10" x14ac:dyDescent="0.25">
      <c r="B57" s="10"/>
      <c r="C57" s="17" t="str">
        <f>IF(B57="","",IFERROR(VLOOKUP(B57,'Cadastro de Produtos'!$B:$C,2,0),""))</f>
        <v/>
      </c>
      <c r="D57" s="12"/>
      <c r="E57" s="18"/>
      <c r="F57" s="10"/>
      <c r="G57" s="18"/>
      <c r="H57" s="19" t="str">
        <f t="shared" si="2"/>
        <v/>
      </c>
      <c r="I57" s="20" t="str">
        <f t="shared" si="3"/>
        <v/>
      </c>
      <c r="J57" s="11"/>
    </row>
    <row r="58" spans="2:10" x14ac:dyDescent="0.25">
      <c r="B58" s="7"/>
      <c r="C58" s="13" t="str">
        <f>IF(B58="","",IFERROR(VLOOKUP(B58,'Cadastro de Produtos'!$B:$C,2,0),""))</f>
        <v/>
      </c>
      <c r="D58" s="9"/>
      <c r="E58" s="14"/>
      <c r="F58" s="7"/>
      <c r="G58" s="14"/>
      <c r="H58" s="15" t="str">
        <f t="shared" si="2"/>
        <v/>
      </c>
      <c r="I58" s="16" t="str">
        <f t="shared" si="3"/>
        <v/>
      </c>
      <c r="J58" s="8"/>
    </row>
    <row r="59" spans="2:10" x14ac:dyDescent="0.25">
      <c r="B59" s="10"/>
      <c r="C59" s="17" t="str">
        <f>IF(B59="","",IFERROR(VLOOKUP(B59,'Cadastro de Produtos'!$B:$C,2,0),""))</f>
        <v/>
      </c>
      <c r="D59" s="12"/>
      <c r="E59" s="18"/>
      <c r="F59" s="10"/>
      <c r="G59" s="18"/>
      <c r="H59" s="19" t="str">
        <f t="shared" si="2"/>
        <v/>
      </c>
      <c r="I59" s="20" t="str">
        <f t="shared" si="3"/>
        <v/>
      </c>
      <c r="J59" s="11"/>
    </row>
    <row r="60" spans="2:10" x14ac:dyDescent="0.25">
      <c r="B60" s="7"/>
      <c r="C60" s="13" t="str">
        <f>IF(B60="","",IFERROR(VLOOKUP(B60,'Cadastro de Produtos'!$B:$C,2,0),""))</f>
        <v/>
      </c>
      <c r="D60" s="9"/>
      <c r="E60" s="14"/>
      <c r="F60" s="7"/>
      <c r="G60" s="14"/>
      <c r="H60" s="15" t="str">
        <f t="shared" si="2"/>
        <v/>
      </c>
      <c r="I60" s="16" t="str">
        <f t="shared" si="3"/>
        <v/>
      </c>
      <c r="J60" s="8"/>
    </row>
    <row r="61" spans="2:10" x14ac:dyDescent="0.25">
      <c r="B61" s="10"/>
      <c r="C61" s="17" t="str">
        <f>IF(B61="","",IFERROR(VLOOKUP(B61,'Cadastro de Produtos'!$B:$C,2,0),""))</f>
        <v/>
      </c>
      <c r="D61" s="12"/>
      <c r="E61" s="18"/>
      <c r="F61" s="10"/>
      <c r="G61" s="18"/>
      <c r="H61" s="19" t="str">
        <f t="shared" si="2"/>
        <v/>
      </c>
      <c r="I61" s="20" t="str">
        <f t="shared" si="3"/>
        <v/>
      </c>
      <c r="J61" s="11"/>
    </row>
    <row r="62" spans="2:10" x14ac:dyDescent="0.25">
      <c r="B62" s="7"/>
      <c r="C62" s="13" t="str">
        <f>IF(B62="","",IFERROR(VLOOKUP(B62,'Cadastro de Produtos'!$B:$C,2,0),""))</f>
        <v/>
      </c>
      <c r="D62" s="9"/>
      <c r="E62" s="14"/>
      <c r="F62" s="7"/>
      <c r="G62" s="14"/>
      <c r="H62" s="15" t="str">
        <f t="shared" si="2"/>
        <v/>
      </c>
      <c r="I62" s="16" t="str">
        <f t="shared" si="3"/>
        <v/>
      </c>
      <c r="J62" s="8"/>
    </row>
    <row r="63" spans="2:10" x14ac:dyDescent="0.25">
      <c r="B63" s="10"/>
      <c r="C63" s="17" t="str">
        <f>IF(B63="","",IFERROR(VLOOKUP(B63,'Cadastro de Produtos'!$B:$C,2,0),""))</f>
        <v/>
      </c>
      <c r="D63" s="12"/>
      <c r="E63" s="18"/>
      <c r="F63" s="10"/>
      <c r="G63" s="18"/>
      <c r="H63" s="19" t="str">
        <f t="shared" si="2"/>
        <v/>
      </c>
      <c r="I63" s="20" t="str">
        <f t="shared" si="3"/>
        <v/>
      </c>
      <c r="J63" s="11"/>
    </row>
    <row r="64" spans="2:10" x14ac:dyDescent="0.25">
      <c r="B64" s="7"/>
      <c r="C64" s="13" t="str">
        <f>IF(B64="","",IFERROR(VLOOKUP(B64,'Cadastro de Produtos'!$B:$C,2,0),""))</f>
        <v/>
      </c>
      <c r="D64" s="9"/>
      <c r="E64" s="14"/>
      <c r="F64" s="7"/>
      <c r="G64" s="14"/>
      <c r="H64" s="15" t="str">
        <f t="shared" si="2"/>
        <v/>
      </c>
      <c r="I64" s="16" t="str">
        <f t="shared" si="3"/>
        <v/>
      </c>
      <c r="J64" s="8"/>
    </row>
    <row r="65" spans="2:10" x14ac:dyDescent="0.25">
      <c r="B65" s="10"/>
      <c r="C65" s="17" t="str">
        <f>IF(B65="","",IFERROR(VLOOKUP(B65,'Cadastro de Produtos'!$B:$C,2,0),""))</f>
        <v/>
      </c>
      <c r="D65" s="12"/>
      <c r="E65" s="18"/>
      <c r="F65" s="10"/>
      <c r="G65" s="18"/>
      <c r="H65" s="19" t="str">
        <f t="shared" si="2"/>
        <v/>
      </c>
      <c r="I65" s="20" t="str">
        <f t="shared" si="3"/>
        <v/>
      </c>
      <c r="J65" s="11"/>
    </row>
  </sheetData>
  <sheetProtection sheet="1" autoFilter="0"/>
  <mergeCells count="2">
    <mergeCell ref="B2:J2"/>
    <mergeCell ref="B3:J3"/>
  </mergeCells>
  <conditionalFormatting sqref="B6:J65">
    <cfRule type="expression" dxfId="32" priority="2">
      <formula>$J6="✅ Sim"</formula>
    </cfRule>
    <cfRule type="expression" dxfId="31" priority="3">
      <formula>AND($H6&lt;&gt;"",$H6&gt;0)</formula>
    </cfRule>
    <cfRule type="expression" dxfId="30" priority="4">
      <formula>AND($H6&lt;&gt;"",$H6&lt;0)</formula>
    </cfRule>
  </conditionalFormatting>
  <dataValidations count="1">
    <dataValidation type="list" allowBlank="1" showErrorMessage="1" errorTitle="Opção inválida" error="Escolha uma opção da lista suspensa." sqref="J6:J65" xr:uid="{00000000-0002-0000-0400-000002000000}">
      <formula1>"❌ Não,✅ Sim"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Produto inválido" error="Escolha um produto da lista suspensa. Se não aparece, cadastre-o primeiro na aba Cadastro de Produtos." xr:uid="{00000000-0002-0000-0400-000000000000}">
          <x14:formula1>
            <xm:f>'Cadastro de Produtos'!$B$6:$B$65</xm:f>
          </x14:formula1>
          <x14:formula2>
            <xm:f>0</xm:f>
          </x14:formula2>
          <xm:sqref>B6:B65</xm:sqref>
        </x14:dataValidation>
        <x14:dataValidation type="list" allowBlank="1" showErrorMessage="1" errorTitle="Mercado inválido" error="Escolha um mercado da lista suspensa. Se não aparece, cadastre-o primeiro na aba Cadastro de Produtos." xr:uid="{00000000-0002-0000-0400-000001000000}">
          <x14:formula1>
            <xm:f>'Cadastro de Produtos'!$F$6:$F$25</xm:f>
          </x14:formula1>
          <x14:formula2>
            <xm:f>0</xm:f>
          </x14:formula2>
          <xm:sqref>F6:F65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J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7109375" defaultRowHeight="15" x14ac:dyDescent="0.25"/>
  <cols>
    <col min="1" max="1" width="3" customWidth="1"/>
    <col min="2" max="2" width="22" customWidth="1"/>
    <col min="3" max="3" width="14" customWidth="1"/>
    <col min="4" max="4" width="11" customWidth="1"/>
    <col min="5" max="5" width="13" customWidth="1"/>
    <col min="6" max="6" width="16" customWidth="1"/>
    <col min="7" max="7" width="15" customWidth="1"/>
    <col min="8" max="8" width="13" customWidth="1"/>
    <col min="9" max="9" width="14" customWidth="1"/>
    <col min="10" max="10" width="12" customWidth="1"/>
  </cols>
  <sheetData>
    <row r="2" spans="2:10" ht="27.75" customHeight="1" x14ac:dyDescent="0.25">
      <c r="B2" s="58" t="s">
        <v>66</v>
      </c>
      <c r="C2" s="58"/>
      <c r="D2" s="58"/>
      <c r="E2" s="58"/>
      <c r="F2" s="58"/>
      <c r="G2" s="58"/>
      <c r="H2" s="58"/>
      <c r="I2" s="58"/>
      <c r="J2" s="58"/>
    </row>
    <row r="3" spans="2:10" ht="19.5" customHeight="1" x14ac:dyDescent="0.25">
      <c r="B3" s="57" t="s">
        <v>55</v>
      </c>
      <c r="C3" s="57"/>
      <c r="D3" s="57"/>
      <c r="E3" s="57"/>
      <c r="F3" s="57"/>
      <c r="G3" s="57"/>
      <c r="H3" s="57"/>
      <c r="I3" s="57"/>
      <c r="J3" s="57"/>
    </row>
    <row r="5" spans="2:10" ht="24" x14ac:dyDescent="0.25">
      <c r="B5" s="6" t="s">
        <v>38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61</v>
      </c>
      <c r="I5" s="6" t="s">
        <v>62</v>
      </c>
      <c r="J5" s="6" t="s">
        <v>63</v>
      </c>
    </row>
    <row r="6" spans="2:10" x14ac:dyDescent="0.25">
      <c r="B6" s="7"/>
      <c r="C6" s="13" t="str">
        <f>IF(B6="","",IFERROR(VLOOKUP(B6,'Cadastro de Produtos'!$B:$C,2,0),""))</f>
        <v/>
      </c>
      <c r="D6" s="9"/>
      <c r="E6" s="14"/>
      <c r="F6" s="7"/>
      <c r="G6" s="14"/>
      <c r="H6" s="15" t="str">
        <f t="shared" ref="H6:H37" si="0">IF(B6="","",IF(OR(E6="",G6="",G6=0),"",(E6-G6)/G6))</f>
        <v/>
      </c>
      <c r="I6" s="16" t="str">
        <f t="shared" ref="I6:I37" si="1">IF(B6="","",IF(D6="","",D6*E6))</f>
        <v/>
      </c>
      <c r="J6" s="8"/>
    </row>
    <row r="7" spans="2:10" x14ac:dyDescent="0.25">
      <c r="B7" s="10"/>
      <c r="C7" s="17" t="str">
        <f>IF(B7="","",IFERROR(VLOOKUP(B7,'Cadastro de Produtos'!$B:$C,2,0),""))</f>
        <v/>
      </c>
      <c r="D7" s="12"/>
      <c r="E7" s="18"/>
      <c r="F7" s="10"/>
      <c r="G7" s="18"/>
      <c r="H7" s="19" t="str">
        <f t="shared" si="0"/>
        <v/>
      </c>
      <c r="I7" s="20" t="str">
        <f t="shared" si="1"/>
        <v/>
      </c>
      <c r="J7" s="11"/>
    </row>
    <row r="8" spans="2:10" x14ac:dyDescent="0.25">
      <c r="B8" s="7"/>
      <c r="C8" s="13" t="str">
        <f>IF(B8="","",IFERROR(VLOOKUP(B8,'Cadastro de Produtos'!$B:$C,2,0),""))</f>
        <v/>
      </c>
      <c r="D8" s="9"/>
      <c r="E8" s="14"/>
      <c r="F8" s="7"/>
      <c r="G8" s="14"/>
      <c r="H8" s="15" t="str">
        <f t="shared" si="0"/>
        <v/>
      </c>
      <c r="I8" s="16" t="str">
        <f t="shared" si="1"/>
        <v/>
      </c>
      <c r="J8" s="8"/>
    </row>
    <row r="9" spans="2:10" x14ac:dyDescent="0.25">
      <c r="B9" s="10"/>
      <c r="C9" s="17" t="str">
        <f>IF(B9="","",IFERROR(VLOOKUP(B9,'Cadastro de Produtos'!$B:$C,2,0),""))</f>
        <v/>
      </c>
      <c r="D9" s="12"/>
      <c r="E9" s="18"/>
      <c r="F9" s="10"/>
      <c r="G9" s="18"/>
      <c r="H9" s="19" t="str">
        <f t="shared" si="0"/>
        <v/>
      </c>
      <c r="I9" s="20" t="str">
        <f t="shared" si="1"/>
        <v/>
      </c>
      <c r="J9" s="11"/>
    </row>
    <row r="10" spans="2:10" x14ac:dyDescent="0.25">
      <c r="B10" s="7"/>
      <c r="C10" s="13" t="str">
        <f>IF(B10="","",IFERROR(VLOOKUP(B10,'Cadastro de Produtos'!$B:$C,2,0),""))</f>
        <v/>
      </c>
      <c r="D10" s="9"/>
      <c r="E10" s="14"/>
      <c r="F10" s="7"/>
      <c r="G10" s="14"/>
      <c r="H10" s="15" t="str">
        <f t="shared" si="0"/>
        <v/>
      </c>
      <c r="I10" s="16" t="str">
        <f t="shared" si="1"/>
        <v/>
      </c>
      <c r="J10" s="8"/>
    </row>
    <row r="11" spans="2:10" x14ac:dyDescent="0.25">
      <c r="B11" s="10"/>
      <c r="C11" s="17" t="str">
        <f>IF(B11="","",IFERROR(VLOOKUP(B11,'Cadastro de Produtos'!$B:$C,2,0),""))</f>
        <v/>
      </c>
      <c r="D11" s="12"/>
      <c r="E11" s="18"/>
      <c r="F11" s="10"/>
      <c r="G11" s="18"/>
      <c r="H11" s="19" t="str">
        <f t="shared" si="0"/>
        <v/>
      </c>
      <c r="I11" s="20" t="str">
        <f t="shared" si="1"/>
        <v/>
      </c>
      <c r="J11" s="11"/>
    </row>
    <row r="12" spans="2:10" x14ac:dyDescent="0.25">
      <c r="B12" s="7"/>
      <c r="C12" s="13" t="str">
        <f>IF(B12="","",IFERROR(VLOOKUP(B12,'Cadastro de Produtos'!$B:$C,2,0),""))</f>
        <v/>
      </c>
      <c r="D12" s="9"/>
      <c r="E12" s="14"/>
      <c r="F12" s="7"/>
      <c r="G12" s="14"/>
      <c r="H12" s="15" t="str">
        <f t="shared" si="0"/>
        <v/>
      </c>
      <c r="I12" s="16" t="str">
        <f t="shared" si="1"/>
        <v/>
      </c>
      <c r="J12" s="8"/>
    </row>
    <row r="13" spans="2:10" x14ac:dyDescent="0.25">
      <c r="B13" s="10"/>
      <c r="C13" s="17" t="str">
        <f>IF(B13="","",IFERROR(VLOOKUP(B13,'Cadastro de Produtos'!$B:$C,2,0),""))</f>
        <v/>
      </c>
      <c r="D13" s="12"/>
      <c r="E13" s="18"/>
      <c r="F13" s="10"/>
      <c r="G13" s="18"/>
      <c r="H13" s="19" t="str">
        <f t="shared" si="0"/>
        <v/>
      </c>
      <c r="I13" s="20" t="str">
        <f t="shared" si="1"/>
        <v/>
      </c>
      <c r="J13" s="11"/>
    </row>
    <row r="14" spans="2:10" x14ac:dyDescent="0.25">
      <c r="B14" s="7"/>
      <c r="C14" s="13" t="str">
        <f>IF(B14="","",IFERROR(VLOOKUP(B14,'Cadastro de Produtos'!$B:$C,2,0),""))</f>
        <v/>
      </c>
      <c r="D14" s="9"/>
      <c r="E14" s="14"/>
      <c r="F14" s="7"/>
      <c r="G14" s="14"/>
      <c r="H14" s="15" t="str">
        <f t="shared" si="0"/>
        <v/>
      </c>
      <c r="I14" s="16" t="str">
        <f t="shared" si="1"/>
        <v/>
      </c>
      <c r="J14" s="8"/>
    </row>
    <row r="15" spans="2:10" x14ac:dyDescent="0.25">
      <c r="B15" s="10"/>
      <c r="C15" s="17" t="str">
        <f>IF(B15="","",IFERROR(VLOOKUP(B15,'Cadastro de Produtos'!$B:$C,2,0),""))</f>
        <v/>
      </c>
      <c r="D15" s="12"/>
      <c r="E15" s="18"/>
      <c r="F15" s="10"/>
      <c r="G15" s="18"/>
      <c r="H15" s="19" t="str">
        <f t="shared" si="0"/>
        <v/>
      </c>
      <c r="I15" s="20" t="str">
        <f t="shared" si="1"/>
        <v/>
      </c>
      <c r="J15" s="11"/>
    </row>
    <row r="16" spans="2:10" x14ac:dyDescent="0.25">
      <c r="B16" s="7"/>
      <c r="C16" s="13" t="str">
        <f>IF(B16="","",IFERROR(VLOOKUP(B16,'Cadastro de Produtos'!$B:$C,2,0),""))</f>
        <v/>
      </c>
      <c r="D16" s="9"/>
      <c r="E16" s="14"/>
      <c r="F16" s="7"/>
      <c r="G16" s="14"/>
      <c r="H16" s="15" t="str">
        <f t="shared" si="0"/>
        <v/>
      </c>
      <c r="I16" s="16" t="str">
        <f t="shared" si="1"/>
        <v/>
      </c>
      <c r="J16" s="8"/>
    </row>
    <row r="17" spans="2:10" x14ac:dyDescent="0.25">
      <c r="B17" s="10"/>
      <c r="C17" s="17" t="str">
        <f>IF(B17="","",IFERROR(VLOOKUP(B17,'Cadastro de Produtos'!$B:$C,2,0),""))</f>
        <v/>
      </c>
      <c r="D17" s="12"/>
      <c r="E17" s="18"/>
      <c r="F17" s="10"/>
      <c r="G17" s="18"/>
      <c r="H17" s="19" t="str">
        <f t="shared" si="0"/>
        <v/>
      </c>
      <c r="I17" s="20" t="str">
        <f t="shared" si="1"/>
        <v/>
      </c>
      <c r="J17" s="11"/>
    </row>
    <row r="18" spans="2:10" x14ac:dyDescent="0.25">
      <c r="B18" s="7"/>
      <c r="C18" s="13" t="str">
        <f>IF(B18="","",IFERROR(VLOOKUP(B18,'Cadastro de Produtos'!$B:$C,2,0),""))</f>
        <v/>
      </c>
      <c r="D18" s="9"/>
      <c r="E18" s="14"/>
      <c r="F18" s="7"/>
      <c r="G18" s="14"/>
      <c r="H18" s="15" t="str">
        <f t="shared" si="0"/>
        <v/>
      </c>
      <c r="I18" s="16" t="str">
        <f t="shared" si="1"/>
        <v/>
      </c>
      <c r="J18" s="8"/>
    </row>
    <row r="19" spans="2:10" x14ac:dyDescent="0.25">
      <c r="B19" s="10"/>
      <c r="C19" s="17" t="str">
        <f>IF(B19="","",IFERROR(VLOOKUP(B19,'Cadastro de Produtos'!$B:$C,2,0),""))</f>
        <v/>
      </c>
      <c r="D19" s="12"/>
      <c r="E19" s="18"/>
      <c r="F19" s="10"/>
      <c r="G19" s="18"/>
      <c r="H19" s="19" t="str">
        <f t="shared" si="0"/>
        <v/>
      </c>
      <c r="I19" s="20" t="str">
        <f t="shared" si="1"/>
        <v/>
      </c>
      <c r="J19" s="11"/>
    </row>
    <row r="20" spans="2:10" x14ac:dyDescent="0.25">
      <c r="B20" s="7"/>
      <c r="C20" s="13" t="str">
        <f>IF(B20="","",IFERROR(VLOOKUP(B20,'Cadastro de Produtos'!$B:$C,2,0),""))</f>
        <v/>
      </c>
      <c r="D20" s="9"/>
      <c r="E20" s="14"/>
      <c r="F20" s="7"/>
      <c r="G20" s="14"/>
      <c r="H20" s="15" t="str">
        <f t="shared" si="0"/>
        <v/>
      </c>
      <c r="I20" s="16" t="str">
        <f t="shared" si="1"/>
        <v/>
      </c>
      <c r="J20" s="8"/>
    </row>
    <row r="21" spans="2:10" x14ac:dyDescent="0.25">
      <c r="B21" s="10"/>
      <c r="C21" s="17" t="str">
        <f>IF(B21="","",IFERROR(VLOOKUP(B21,'Cadastro de Produtos'!$B:$C,2,0),""))</f>
        <v/>
      </c>
      <c r="D21" s="12"/>
      <c r="E21" s="18"/>
      <c r="F21" s="10"/>
      <c r="G21" s="18"/>
      <c r="H21" s="19" t="str">
        <f t="shared" si="0"/>
        <v/>
      </c>
      <c r="I21" s="20" t="str">
        <f t="shared" si="1"/>
        <v/>
      </c>
      <c r="J21" s="11"/>
    </row>
    <row r="22" spans="2:10" x14ac:dyDescent="0.25">
      <c r="B22" s="7"/>
      <c r="C22" s="13" t="str">
        <f>IF(B22="","",IFERROR(VLOOKUP(B22,'Cadastro de Produtos'!$B:$C,2,0),""))</f>
        <v/>
      </c>
      <c r="D22" s="9"/>
      <c r="E22" s="14"/>
      <c r="F22" s="7"/>
      <c r="G22" s="14"/>
      <c r="H22" s="15" t="str">
        <f t="shared" si="0"/>
        <v/>
      </c>
      <c r="I22" s="16" t="str">
        <f t="shared" si="1"/>
        <v/>
      </c>
      <c r="J22" s="8"/>
    </row>
    <row r="23" spans="2:10" x14ac:dyDescent="0.25">
      <c r="B23" s="10"/>
      <c r="C23" s="17" t="str">
        <f>IF(B23="","",IFERROR(VLOOKUP(B23,'Cadastro de Produtos'!$B:$C,2,0),""))</f>
        <v/>
      </c>
      <c r="D23" s="12"/>
      <c r="E23" s="18"/>
      <c r="F23" s="10"/>
      <c r="G23" s="18"/>
      <c r="H23" s="19" t="str">
        <f t="shared" si="0"/>
        <v/>
      </c>
      <c r="I23" s="20" t="str">
        <f t="shared" si="1"/>
        <v/>
      </c>
      <c r="J23" s="11"/>
    </row>
    <row r="24" spans="2:10" x14ac:dyDescent="0.25">
      <c r="B24" s="7"/>
      <c r="C24" s="13" t="str">
        <f>IF(B24="","",IFERROR(VLOOKUP(B24,'Cadastro de Produtos'!$B:$C,2,0),""))</f>
        <v/>
      </c>
      <c r="D24" s="9"/>
      <c r="E24" s="14"/>
      <c r="F24" s="7"/>
      <c r="G24" s="14"/>
      <c r="H24" s="15" t="str">
        <f t="shared" si="0"/>
        <v/>
      </c>
      <c r="I24" s="16" t="str">
        <f t="shared" si="1"/>
        <v/>
      </c>
      <c r="J24" s="8"/>
    </row>
    <row r="25" spans="2:10" x14ac:dyDescent="0.25">
      <c r="B25" s="10"/>
      <c r="C25" s="17" t="str">
        <f>IF(B25="","",IFERROR(VLOOKUP(B25,'Cadastro de Produtos'!$B:$C,2,0),""))</f>
        <v/>
      </c>
      <c r="D25" s="12"/>
      <c r="E25" s="18"/>
      <c r="F25" s="10"/>
      <c r="G25" s="18"/>
      <c r="H25" s="19" t="str">
        <f t="shared" si="0"/>
        <v/>
      </c>
      <c r="I25" s="20" t="str">
        <f t="shared" si="1"/>
        <v/>
      </c>
      <c r="J25" s="11"/>
    </row>
    <row r="26" spans="2:10" x14ac:dyDescent="0.25">
      <c r="B26" s="7"/>
      <c r="C26" s="13" t="str">
        <f>IF(B26="","",IFERROR(VLOOKUP(B26,'Cadastro de Produtos'!$B:$C,2,0),""))</f>
        <v/>
      </c>
      <c r="D26" s="9"/>
      <c r="E26" s="14"/>
      <c r="F26" s="7"/>
      <c r="G26" s="14"/>
      <c r="H26" s="15" t="str">
        <f t="shared" si="0"/>
        <v/>
      </c>
      <c r="I26" s="16" t="str">
        <f t="shared" si="1"/>
        <v/>
      </c>
      <c r="J26" s="8"/>
    </row>
    <row r="27" spans="2:10" x14ac:dyDescent="0.25">
      <c r="B27" s="10"/>
      <c r="C27" s="17" t="str">
        <f>IF(B27="","",IFERROR(VLOOKUP(B27,'Cadastro de Produtos'!$B:$C,2,0),""))</f>
        <v/>
      </c>
      <c r="D27" s="12"/>
      <c r="E27" s="18"/>
      <c r="F27" s="10"/>
      <c r="G27" s="18"/>
      <c r="H27" s="19" t="str">
        <f t="shared" si="0"/>
        <v/>
      </c>
      <c r="I27" s="20" t="str">
        <f t="shared" si="1"/>
        <v/>
      </c>
      <c r="J27" s="11"/>
    </row>
    <row r="28" spans="2:10" x14ac:dyDescent="0.25">
      <c r="B28" s="7"/>
      <c r="C28" s="13" t="str">
        <f>IF(B28="","",IFERROR(VLOOKUP(B28,'Cadastro de Produtos'!$B:$C,2,0),""))</f>
        <v/>
      </c>
      <c r="D28" s="9"/>
      <c r="E28" s="14"/>
      <c r="F28" s="7"/>
      <c r="G28" s="14"/>
      <c r="H28" s="15" t="str">
        <f t="shared" si="0"/>
        <v/>
      </c>
      <c r="I28" s="16" t="str">
        <f t="shared" si="1"/>
        <v/>
      </c>
      <c r="J28" s="8"/>
    </row>
    <row r="29" spans="2:10" x14ac:dyDescent="0.25">
      <c r="B29" s="10"/>
      <c r="C29" s="17" t="str">
        <f>IF(B29="","",IFERROR(VLOOKUP(B29,'Cadastro de Produtos'!$B:$C,2,0),""))</f>
        <v/>
      </c>
      <c r="D29" s="12"/>
      <c r="E29" s="18"/>
      <c r="F29" s="10"/>
      <c r="G29" s="18"/>
      <c r="H29" s="19" t="str">
        <f t="shared" si="0"/>
        <v/>
      </c>
      <c r="I29" s="20" t="str">
        <f t="shared" si="1"/>
        <v/>
      </c>
      <c r="J29" s="11"/>
    </row>
    <row r="30" spans="2:10" x14ac:dyDescent="0.25">
      <c r="B30" s="7"/>
      <c r="C30" s="13" t="str">
        <f>IF(B30="","",IFERROR(VLOOKUP(B30,'Cadastro de Produtos'!$B:$C,2,0),""))</f>
        <v/>
      </c>
      <c r="D30" s="9"/>
      <c r="E30" s="14"/>
      <c r="F30" s="7"/>
      <c r="G30" s="14"/>
      <c r="H30" s="15" t="str">
        <f t="shared" si="0"/>
        <v/>
      </c>
      <c r="I30" s="16" t="str">
        <f t="shared" si="1"/>
        <v/>
      </c>
      <c r="J30" s="8"/>
    </row>
    <row r="31" spans="2:10" x14ac:dyDescent="0.25">
      <c r="B31" s="10"/>
      <c r="C31" s="17" t="str">
        <f>IF(B31="","",IFERROR(VLOOKUP(B31,'Cadastro de Produtos'!$B:$C,2,0),""))</f>
        <v/>
      </c>
      <c r="D31" s="12"/>
      <c r="E31" s="18"/>
      <c r="F31" s="10"/>
      <c r="G31" s="18"/>
      <c r="H31" s="19" t="str">
        <f t="shared" si="0"/>
        <v/>
      </c>
      <c r="I31" s="20" t="str">
        <f t="shared" si="1"/>
        <v/>
      </c>
      <c r="J31" s="11"/>
    </row>
    <row r="32" spans="2:10" x14ac:dyDescent="0.25">
      <c r="B32" s="7"/>
      <c r="C32" s="13" t="str">
        <f>IF(B32="","",IFERROR(VLOOKUP(B32,'Cadastro de Produtos'!$B:$C,2,0),""))</f>
        <v/>
      </c>
      <c r="D32" s="9"/>
      <c r="E32" s="14"/>
      <c r="F32" s="7"/>
      <c r="G32" s="14"/>
      <c r="H32" s="15" t="str">
        <f t="shared" si="0"/>
        <v/>
      </c>
      <c r="I32" s="16" t="str">
        <f t="shared" si="1"/>
        <v/>
      </c>
      <c r="J32" s="8"/>
    </row>
    <row r="33" spans="2:10" x14ac:dyDescent="0.25">
      <c r="B33" s="10"/>
      <c r="C33" s="17" t="str">
        <f>IF(B33="","",IFERROR(VLOOKUP(B33,'Cadastro de Produtos'!$B:$C,2,0),""))</f>
        <v/>
      </c>
      <c r="D33" s="12"/>
      <c r="E33" s="18"/>
      <c r="F33" s="10"/>
      <c r="G33" s="18"/>
      <c r="H33" s="19" t="str">
        <f t="shared" si="0"/>
        <v/>
      </c>
      <c r="I33" s="20" t="str">
        <f t="shared" si="1"/>
        <v/>
      </c>
      <c r="J33" s="11"/>
    </row>
    <row r="34" spans="2:10" x14ac:dyDescent="0.25">
      <c r="B34" s="7"/>
      <c r="C34" s="13" t="str">
        <f>IF(B34="","",IFERROR(VLOOKUP(B34,'Cadastro de Produtos'!$B:$C,2,0),""))</f>
        <v/>
      </c>
      <c r="D34" s="9"/>
      <c r="E34" s="14"/>
      <c r="F34" s="7"/>
      <c r="G34" s="14"/>
      <c r="H34" s="15" t="str">
        <f t="shared" si="0"/>
        <v/>
      </c>
      <c r="I34" s="16" t="str">
        <f t="shared" si="1"/>
        <v/>
      </c>
      <c r="J34" s="8"/>
    </row>
    <row r="35" spans="2:10" x14ac:dyDescent="0.25">
      <c r="B35" s="10"/>
      <c r="C35" s="17" t="str">
        <f>IF(B35="","",IFERROR(VLOOKUP(B35,'Cadastro de Produtos'!$B:$C,2,0),""))</f>
        <v/>
      </c>
      <c r="D35" s="12"/>
      <c r="E35" s="18"/>
      <c r="F35" s="10"/>
      <c r="G35" s="18"/>
      <c r="H35" s="19" t="str">
        <f t="shared" si="0"/>
        <v/>
      </c>
      <c r="I35" s="20" t="str">
        <f t="shared" si="1"/>
        <v/>
      </c>
      <c r="J35" s="11"/>
    </row>
    <row r="36" spans="2:10" x14ac:dyDescent="0.25">
      <c r="B36" s="7"/>
      <c r="C36" s="13" t="str">
        <f>IF(B36="","",IFERROR(VLOOKUP(B36,'Cadastro de Produtos'!$B:$C,2,0),""))</f>
        <v/>
      </c>
      <c r="D36" s="9"/>
      <c r="E36" s="14"/>
      <c r="F36" s="7"/>
      <c r="G36" s="14"/>
      <c r="H36" s="15" t="str">
        <f t="shared" si="0"/>
        <v/>
      </c>
      <c r="I36" s="16" t="str">
        <f t="shared" si="1"/>
        <v/>
      </c>
      <c r="J36" s="8"/>
    </row>
    <row r="37" spans="2:10" x14ac:dyDescent="0.25">
      <c r="B37" s="10"/>
      <c r="C37" s="17" t="str">
        <f>IF(B37="","",IFERROR(VLOOKUP(B37,'Cadastro de Produtos'!$B:$C,2,0),""))</f>
        <v/>
      </c>
      <c r="D37" s="12"/>
      <c r="E37" s="18"/>
      <c r="F37" s="10"/>
      <c r="G37" s="18"/>
      <c r="H37" s="19" t="str">
        <f t="shared" si="0"/>
        <v/>
      </c>
      <c r="I37" s="20" t="str">
        <f t="shared" si="1"/>
        <v/>
      </c>
      <c r="J37" s="11"/>
    </row>
    <row r="38" spans="2:10" x14ac:dyDescent="0.25">
      <c r="B38" s="7"/>
      <c r="C38" s="13" t="str">
        <f>IF(B38="","",IFERROR(VLOOKUP(B38,'Cadastro de Produtos'!$B:$C,2,0),""))</f>
        <v/>
      </c>
      <c r="D38" s="9"/>
      <c r="E38" s="14"/>
      <c r="F38" s="7"/>
      <c r="G38" s="14"/>
      <c r="H38" s="15" t="str">
        <f t="shared" ref="H38:H65" si="2">IF(B38="","",IF(OR(E38="",G38="",G38=0),"",(E38-G38)/G38))</f>
        <v/>
      </c>
      <c r="I38" s="16" t="str">
        <f t="shared" ref="I38:I65" si="3">IF(B38="","",IF(D38="","",D38*E38))</f>
        <v/>
      </c>
      <c r="J38" s="8"/>
    </row>
    <row r="39" spans="2:10" x14ac:dyDescent="0.25">
      <c r="B39" s="10"/>
      <c r="C39" s="17" t="str">
        <f>IF(B39="","",IFERROR(VLOOKUP(B39,'Cadastro de Produtos'!$B:$C,2,0),""))</f>
        <v/>
      </c>
      <c r="D39" s="12"/>
      <c r="E39" s="18"/>
      <c r="F39" s="10"/>
      <c r="G39" s="18"/>
      <c r="H39" s="19" t="str">
        <f t="shared" si="2"/>
        <v/>
      </c>
      <c r="I39" s="20" t="str">
        <f t="shared" si="3"/>
        <v/>
      </c>
      <c r="J39" s="11"/>
    </row>
    <row r="40" spans="2:10" x14ac:dyDescent="0.25">
      <c r="B40" s="7"/>
      <c r="C40" s="13" t="str">
        <f>IF(B40="","",IFERROR(VLOOKUP(B40,'Cadastro de Produtos'!$B:$C,2,0),""))</f>
        <v/>
      </c>
      <c r="D40" s="9"/>
      <c r="E40" s="14"/>
      <c r="F40" s="7"/>
      <c r="G40" s="14"/>
      <c r="H40" s="15" t="str">
        <f t="shared" si="2"/>
        <v/>
      </c>
      <c r="I40" s="16" t="str">
        <f t="shared" si="3"/>
        <v/>
      </c>
      <c r="J40" s="8"/>
    </row>
    <row r="41" spans="2:10" x14ac:dyDescent="0.25">
      <c r="B41" s="10"/>
      <c r="C41" s="17" t="str">
        <f>IF(B41="","",IFERROR(VLOOKUP(B41,'Cadastro de Produtos'!$B:$C,2,0),""))</f>
        <v/>
      </c>
      <c r="D41" s="12"/>
      <c r="E41" s="18"/>
      <c r="F41" s="10"/>
      <c r="G41" s="18"/>
      <c r="H41" s="19" t="str">
        <f t="shared" si="2"/>
        <v/>
      </c>
      <c r="I41" s="20" t="str">
        <f t="shared" si="3"/>
        <v/>
      </c>
      <c r="J41" s="11"/>
    </row>
    <row r="42" spans="2:10" x14ac:dyDescent="0.25">
      <c r="B42" s="7"/>
      <c r="C42" s="13" t="str">
        <f>IF(B42="","",IFERROR(VLOOKUP(B42,'Cadastro de Produtos'!$B:$C,2,0),""))</f>
        <v/>
      </c>
      <c r="D42" s="9"/>
      <c r="E42" s="14"/>
      <c r="F42" s="7"/>
      <c r="G42" s="14"/>
      <c r="H42" s="15" t="str">
        <f t="shared" si="2"/>
        <v/>
      </c>
      <c r="I42" s="16" t="str">
        <f t="shared" si="3"/>
        <v/>
      </c>
      <c r="J42" s="8"/>
    </row>
    <row r="43" spans="2:10" x14ac:dyDescent="0.25">
      <c r="B43" s="10"/>
      <c r="C43" s="17" t="str">
        <f>IF(B43="","",IFERROR(VLOOKUP(B43,'Cadastro de Produtos'!$B:$C,2,0),""))</f>
        <v/>
      </c>
      <c r="D43" s="12"/>
      <c r="E43" s="18"/>
      <c r="F43" s="10"/>
      <c r="G43" s="18"/>
      <c r="H43" s="19" t="str">
        <f t="shared" si="2"/>
        <v/>
      </c>
      <c r="I43" s="20" t="str">
        <f t="shared" si="3"/>
        <v/>
      </c>
      <c r="J43" s="11"/>
    </row>
    <row r="44" spans="2:10" x14ac:dyDescent="0.25">
      <c r="B44" s="7"/>
      <c r="C44" s="13" t="str">
        <f>IF(B44="","",IFERROR(VLOOKUP(B44,'Cadastro de Produtos'!$B:$C,2,0),""))</f>
        <v/>
      </c>
      <c r="D44" s="9"/>
      <c r="E44" s="14"/>
      <c r="F44" s="7"/>
      <c r="G44" s="14"/>
      <c r="H44" s="15" t="str">
        <f t="shared" si="2"/>
        <v/>
      </c>
      <c r="I44" s="16" t="str">
        <f t="shared" si="3"/>
        <v/>
      </c>
      <c r="J44" s="8"/>
    </row>
    <row r="45" spans="2:10" x14ac:dyDescent="0.25">
      <c r="B45" s="10"/>
      <c r="C45" s="17" t="str">
        <f>IF(B45="","",IFERROR(VLOOKUP(B45,'Cadastro de Produtos'!$B:$C,2,0),""))</f>
        <v/>
      </c>
      <c r="D45" s="12"/>
      <c r="E45" s="18"/>
      <c r="F45" s="10"/>
      <c r="G45" s="18"/>
      <c r="H45" s="19" t="str">
        <f t="shared" si="2"/>
        <v/>
      </c>
      <c r="I45" s="20" t="str">
        <f t="shared" si="3"/>
        <v/>
      </c>
      <c r="J45" s="11"/>
    </row>
    <row r="46" spans="2:10" x14ac:dyDescent="0.25">
      <c r="B46" s="7"/>
      <c r="C46" s="13" t="str">
        <f>IF(B46="","",IFERROR(VLOOKUP(B46,'Cadastro de Produtos'!$B:$C,2,0),""))</f>
        <v/>
      </c>
      <c r="D46" s="9"/>
      <c r="E46" s="14"/>
      <c r="F46" s="7"/>
      <c r="G46" s="14"/>
      <c r="H46" s="15" t="str">
        <f t="shared" si="2"/>
        <v/>
      </c>
      <c r="I46" s="16" t="str">
        <f t="shared" si="3"/>
        <v/>
      </c>
      <c r="J46" s="8"/>
    </row>
    <row r="47" spans="2:10" x14ac:dyDescent="0.25">
      <c r="B47" s="10"/>
      <c r="C47" s="17" t="str">
        <f>IF(B47="","",IFERROR(VLOOKUP(B47,'Cadastro de Produtos'!$B:$C,2,0),""))</f>
        <v/>
      </c>
      <c r="D47" s="12"/>
      <c r="E47" s="18"/>
      <c r="F47" s="10"/>
      <c r="G47" s="18"/>
      <c r="H47" s="19" t="str">
        <f t="shared" si="2"/>
        <v/>
      </c>
      <c r="I47" s="20" t="str">
        <f t="shared" si="3"/>
        <v/>
      </c>
      <c r="J47" s="11"/>
    </row>
    <row r="48" spans="2:10" x14ac:dyDescent="0.25">
      <c r="B48" s="7"/>
      <c r="C48" s="13" t="str">
        <f>IF(B48="","",IFERROR(VLOOKUP(B48,'Cadastro de Produtos'!$B:$C,2,0),""))</f>
        <v/>
      </c>
      <c r="D48" s="9"/>
      <c r="E48" s="14"/>
      <c r="F48" s="7"/>
      <c r="G48" s="14"/>
      <c r="H48" s="15" t="str">
        <f t="shared" si="2"/>
        <v/>
      </c>
      <c r="I48" s="16" t="str">
        <f t="shared" si="3"/>
        <v/>
      </c>
      <c r="J48" s="8"/>
    </row>
    <row r="49" spans="2:10" x14ac:dyDescent="0.25">
      <c r="B49" s="10"/>
      <c r="C49" s="17" t="str">
        <f>IF(B49="","",IFERROR(VLOOKUP(B49,'Cadastro de Produtos'!$B:$C,2,0),""))</f>
        <v/>
      </c>
      <c r="D49" s="12"/>
      <c r="E49" s="18"/>
      <c r="F49" s="10"/>
      <c r="G49" s="18"/>
      <c r="H49" s="19" t="str">
        <f t="shared" si="2"/>
        <v/>
      </c>
      <c r="I49" s="20" t="str">
        <f t="shared" si="3"/>
        <v/>
      </c>
      <c r="J49" s="11"/>
    </row>
    <row r="50" spans="2:10" x14ac:dyDescent="0.25">
      <c r="B50" s="7"/>
      <c r="C50" s="13" t="str">
        <f>IF(B50="","",IFERROR(VLOOKUP(B50,'Cadastro de Produtos'!$B:$C,2,0),""))</f>
        <v/>
      </c>
      <c r="D50" s="9"/>
      <c r="E50" s="14"/>
      <c r="F50" s="7"/>
      <c r="G50" s="14"/>
      <c r="H50" s="15" t="str">
        <f t="shared" si="2"/>
        <v/>
      </c>
      <c r="I50" s="16" t="str">
        <f t="shared" si="3"/>
        <v/>
      </c>
      <c r="J50" s="8"/>
    </row>
    <row r="51" spans="2:10" x14ac:dyDescent="0.25">
      <c r="B51" s="10"/>
      <c r="C51" s="17" t="str">
        <f>IF(B51="","",IFERROR(VLOOKUP(B51,'Cadastro de Produtos'!$B:$C,2,0),""))</f>
        <v/>
      </c>
      <c r="D51" s="12"/>
      <c r="E51" s="18"/>
      <c r="F51" s="10"/>
      <c r="G51" s="18"/>
      <c r="H51" s="19" t="str">
        <f t="shared" si="2"/>
        <v/>
      </c>
      <c r="I51" s="20" t="str">
        <f t="shared" si="3"/>
        <v/>
      </c>
      <c r="J51" s="11"/>
    </row>
    <row r="52" spans="2:10" x14ac:dyDescent="0.25">
      <c r="B52" s="7"/>
      <c r="C52" s="13" t="str">
        <f>IF(B52="","",IFERROR(VLOOKUP(B52,'Cadastro de Produtos'!$B:$C,2,0),""))</f>
        <v/>
      </c>
      <c r="D52" s="9"/>
      <c r="E52" s="14"/>
      <c r="F52" s="7"/>
      <c r="G52" s="14"/>
      <c r="H52" s="15" t="str">
        <f t="shared" si="2"/>
        <v/>
      </c>
      <c r="I52" s="16" t="str">
        <f t="shared" si="3"/>
        <v/>
      </c>
      <c r="J52" s="8"/>
    </row>
    <row r="53" spans="2:10" x14ac:dyDescent="0.25">
      <c r="B53" s="10"/>
      <c r="C53" s="17" t="str">
        <f>IF(B53="","",IFERROR(VLOOKUP(B53,'Cadastro de Produtos'!$B:$C,2,0),""))</f>
        <v/>
      </c>
      <c r="D53" s="12"/>
      <c r="E53" s="18"/>
      <c r="F53" s="10"/>
      <c r="G53" s="18"/>
      <c r="H53" s="19" t="str">
        <f t="shared" si="2"/>
        <v/>
      </c>
      <c r="I53" s="20" t="str">
        <f t="shared" si="3"/>
        <v/>
      </c>
      <c r="J53" s="11"/>
    </row>
    <row r="54" spans="2:10" x14ac:dyDescent="0.25">
      <c r="B54" s="7"/>
      <c r="C54" s="13" t="str">
        <f>IF(B54="","",IFERROR(VLOOKUP(B54,'Cadastro de Produtos'!$B:$C,2,0),""))</f>
        <v/>
      </c>
      <c r="D54" s="9"/>
      <c r="E54" s="14"/>
      <c r="F54" s="7"/>
      <c r="G54" s="14"/>
      <c r="H54" s="15" t="str">
        <f t="shared" si="2"/>
        <v/>
      </c>
      <c r="I54" s="16" t="str">
        <f t="shared" si="3"/>
        <v/>
      </c>
      <c r="J54" s="8"/>
    </row>
    <row r="55" spans="2:10" x14ac:dyDescent="0.25">
      <c r="B55" s="10"/>
      <c r="C55" s="17" t="str">
        <f>IF(B55="","",IFERROR(VLOOKUP(B55,'Cadastro de Produtos'!$B:$C,2,0),""))</f>
        <v/>
      </c>
      <c r="D55" s="12"/>
      <c r="E55" s="18"/>
      <c r="F55" s="10"/>
      <c r="G55" s="18"/>
      <c r="H55" s="19" t="str">
        <f t="shared" si="2"/>
        <v/>
      </c>
      <c r="I55" s="20" t="str">
        <f t="shared" si="3"/>
        <v/>
      </c>
      <c r="J55" s="11"/>
    </row>
    <row r="56" spans="2:10" x14ac:dyDescent="0.25">
      <c r="B56" s="7"/>
      <c r="C56" s="13" t="str">
        <f>IF(B56="","",IFERROR(VLOOKUP(B56,'Cadastro de Produtos'!$B:$C,2,0),""))</f>
        <v/>
      </c>
      <c r="D56" s="9"/>
      <c r="E56" s="14"/>
      <c r="F56" s="7"/>
      <c r="G56" s="14"/>
      <c r="H56" s="15" t="str">
        <f t="shared" si="2"/>
        <v/>
      </c>
      <c r="I56" s="16" t="str">
        <f t="shared" si="3"/>
        <v/>
      </c>
      <c r="J56" s="8"/>
    </row>
    <row r="57" spans="2:10" x14ac:dyDescent="0.25">
      <c r="B57" s="10"/>
      <c r="C57" s="17" t="str">
        <f>IF(B57="","",IFERROR(VLOOKUP(B57,'Cadastro de Produtos'!$B:$C,2,0),""))</f>
        <v/>
      </c>
      <c r="D57" s="12"/>
      <c r="E57" s="18"/>
      <c r="F57" s="10"/>
      <c r="G57" s="18"/>
      <c r="H57" s="19" t="str">
        <f t="shared" si="2"/>
        <v/>
      </c>
      <c r="I57" s="20" t="str">
        <f t="shared" si="3"/>
        <v/>
      </c>
      <c r="J57" s="11"/>
    </row>
    <row r="58" spans="2:10" x14ac:dyDescent="0.25">
      <c r="B58" s="7"/>
      <c r="C58" s="13" t="str">
        <f>IF(B58="","",IFERROR(VLOOKUP(B58,'Cadastro de Produtos'!$B:$C,2,0),""))</f>
        <v/>
      </c>
      <c r="D58" s="9"/>
      <c r="E58" s="14"/>
      <c r="F58" s="7"/>
      <c r="G58" s="14"/>
      <c r="H58" s="15" t="str">
        <f t="shared" si="2"/>
        <v/>
      </c>
      <c r="I58" s="16" t="str">
        <f t="shared" si="3"/>
        <v/>
      </c>
      <c r="J58" s="8"/>
    </row>
    <row r="59" spans="2:10" x14ac:dyDescent="0.25">
      <c r="B59" s="10"/>
      <c r="C59" s="17" t="str">
        <f>IF(B59="","",IFERROR(VLOOKUP(B59,'Cadastro de Produtos'!$B:$C,2,0),""))</f>
        <v/>
      </c>
      <c r="D59" s="12"/>
      <c r="E59" s="18"/>
      <c r="F59" s="10"/>
      <c r="G59" s="18"/>
      <c r="H59" s="19" t="str">
        <f t="shared" si="2"/>
        <v/>
      </c>
      <c r="I59" s="20" t="str">
        <f t="shared" si="3"/>
        <v/>
      </c>
      <c r="J59" s="11"/>
    </row>
    <row r="60" spans="2:10" x14ac:dyDescent="0.25">
      <c r="B60" s="7"/>
      <c r="C60" s="13" t="str">
        <f>IF(B60="","",IFERROR(VLOOKUP(B60,'Cadastro de Produtos'!$B:$C,2,0),""))</f>
        <v/>
      </c>
      <c r="D60" s="9"/>
      <c r="E60" s="14"/>
      <c r="F60" s="7"/>
      <c r="G60" s="14"/>
      <c r="H60" s="15" t="str">
        <f t="shared" si="2"/>
        <v/>
      </c>
      <c r="I60" s="16" t="str">
        <f t="shared" si="3"/>
        <v/>
      </c>
      <c r="J60" s="8"/>
    </row>
    <row r="61" spans="2:10" x14ac:dyDescent="0.25">
      <c r="B61" s="10"/>
      <c r="C61" s="17" t="str">
        <f>IF(B61="","",IFERROR(VLOOKUP(B61,'Cadastro de Produtos'!$B:$C,2,0),""))</f>
        <v/>
      </c>
      <c r="D61" s="12"/>
      <c r="E61" s="18"/>
      <c r="F61" s="10"/>
      <c r="G61" s="18"/>
      <c r="H61" s="19" t="str">
        <f t="shared" si="2"/>
        <v/>
      </c>
      <c r="I61" s="20" t="str">
        <f t="shared" si="3"/>
        <v/>
      </c>
      <c r="J61" s="11"/>
    </row>
    <row r="62" spans="2:10" x14ac:dyDescent="0.25">
      <c r="B62" s="7"/>
      <c r="C62" s="13" t="str">
        <f>IF(B62="","",IFERROR(VLOOKUP(B62,'Cadastro de Produtos'!$B:$C,2,0),""))</f>
        <v/>
      </c>
      <c r="D62" s="9"/>
      <c r="E62" s="14"/>
      <c r="F62" s="7"/>
      <c r="G62" s="14"/>
      <c r="H62" s="15" t="str">
        <f t="shared" si="2"/>
        <v/>
      </c>
      <c r="I62" s="16" t="str">
        <f t="shared" si="3"/>
        <v/>
      </c>
      <c r="J62" s="8"/>
    </row>
    <row r="63" spans="2:10" x14ac:dyDescent="0.25">
      <c r="B63" s="10"/>
      <c r="C63" s="17" t="str">
        <f>IF(B63="","",IFERROR(VLOOKUP(B63,'Cadastro de Produtos'!$B:$C,2,0),""))</f>
        <v/>
      </c>
      <c r="D63" s="12"/>
      <c r="E63" s="18"/>
      <c r="F63" s="10"/>
      <c r="G63" s="18"/>
      <c r="H63" s="19" t="str">
        <f t="shared" si="2"/>
        <v/>
      </c>
      <c r="I63" s="20" t="str">
        <f t="shared" si="3"/>
        <v/>
      </c>
      <c r="J63" s="11"/>
    </row>
    <row r="64" spans="2:10" x14ac:dyDescent="0.25">
      <c r="B64" s="7"/>
      <c r="C64" s="13" t="str">
        <f>IF(B64="","",IFERROR(VLOOKUP(B64,'Cadastro de Produtos'!$B:$C,2,0),""))</f>
        <v/>
      </c>
      <c r="D64" s="9"/>
      <c r="E64" s="14"/>
      <c r="F64" s="7"/>
      <c r="G64" s="14"/>
      <c r="H64" s="15" t="str">
        <f t="shared" si="2"/>
        <v/>
      </c>
      <c r="I64" s="16" t="str">
        <f t="shared" si="3"/>
        <v/>
      </c>
      <c r="J64" s="8"/>
    </row>
    <row r="65" spans="2:10" x14ac:dyDescent="0.25">
      <c r="B65" s="10"/>
      <c r="C65" s="17" t="str">
        <f>IF(B65="","",IFERROR(VLOOKUP(B65,'Cadastro de Produtos'!$B:$C,2,0),""))</f>
        <v/>
      </c>
      <c r="D65" s="12"/>
      <c r="E65" s="18"/>
      <c r="F65" s="10"/>
      <c r="G65" s="18"/>
      <c r="H65" s="19" t="str">
        <f t="shared" si="2"/>
        <v/>
      </c>
      <c r="I65" s="20" t="str">
        <f t="shared" si="3"/>
        <v/>
      </c>
      <c r="J65" s="11"/>
    </row>
  </sheetData>
  <sheetProtection sheet="1" autoFilter="0"/>
  <mergeCells count="2">
    <mergeCell ref="B2:J2"/>
    <mergeCell ref="B3:J3"/>
  </mergeCells>
  <conditionalFormatting sqref="B6:J65">
    <cfRule type="expression" dxfId="29" priority="2">
      <formula>$J6="✅ Sim"</formula>
    </cfRule>
    <cfRule type="expression" dxfId="28" priority="3">
      <formula>AND($H6&lt;&gt;"",$H6&gt;0)</formula>
    </cfRule>
    <cfRule type="expression" dxfId="27" priority="4">
      <formula>AND($H6&lt;&gt;"",$H6&lt;0)</formula>
    </cfRule>
  </conditionalFormatting>
  <dataValidations count="1">
    <dataValidation type="list" allowBlank="1" showErrorMessage="1" errorTitle="Opção inválida" error="Escolha uma opção da lista suspensa." sqref="J6:J65" xr:uid="{00000000-0002-0000-0500-000002000000}">
      <formula1>"❌ Não,✅ Sim"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Produto inválido" error="Escolha um produto da lista suspensa. Se não aparece, cadastre-o primeiro na aba Cadastro de Produtos." xr:uid="{00000000-0002-0000-0500-000000000000}">
          <x14:formula1>
            <xm:f>'Cadastro de Produtos'!$B$6:$B$65</xm:f>
          </x14:formula1>
          <x14:formula2>
            <xm:f>0</xm:f>
          </x14:formula2>
          <xm:sqref>B6:B65</xm:sqref>
        </x14:dataValidation>
        <x14:dataValidation type="list" allowBlank="1" showErrorMessage="1" errorTitle="Mercado inválido" error="Escolha um mercado da lista suspensa. Se não aparece, cadastre-o primeiro na aba Cadastro de Produtos." xr:uid="{00000000-0002-0000-0500-000001000000}">
          <x14:formula1>
            <xm:f>'Cadastro de Produtos'!$F$6:$F$25</xm:f>
          </x14:formula1>
          <x14:formula2>
            <xm:f>0</xm:f>
          </x14:formula2>
          <xm:sqref>F6:F65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J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7109375" defaultRowHeight="15" x14ac:dyDescent="0.25"/>
  <cols>
    <col min="1" max="1" width="3" customWidth="1"/>
    <col min="2" max="2" width="22" customWidth="1"/>
    <col min="3" max="3" width="14" customWidth="1"/>
    <col min="4" max="4" width="11" customWidth="1"/>
    <col min="5" max="5" width="13" customWidth="1"/>
    <col min="6" max="6" width="16" customWidth="1"/>
    <col min="7" max="7" width="15" customWidth="1"/>
    <col min="8" max="8" width="13" customWidth="1"/>
    <col min="9" max="9" width="14" customWidth="1"/>
    <col min="10" max="10" width="12" customWidth="1"/>
  </cols>
  <sheetData>
    <row r="2" spans="2:10" ht="27.75" customHeight="1" x14ac:dyDescent="0.25">
      <c r="B2" s="58" t="s">
        <v>67</v>
      </c>
      <c r="C2" s="58"/>
      <c r="D2" s="58"/>
      <c r="E2" s="58"/>
      <c r="F2" s="58"/>
      <c r="G2" s="58"/>
      <c r="H2" s="58"/>
      <c r="I2" s="58"/>
      <c r="J2" s="58"/>
    </row>
    <row r="3" spans="2:10" ht="19.5" customHeight="1" x14ac:dyDescent="0.25">
      <c r="B3" s="57" t="s">
        <v>55</v>
      </c>
      <c r="C3" s="57"/>
      <c r="D3" s="57"/>
      <c r="E3" s="57"/>
      <c r="F3" s="57"/>
      <c r="G3" s="57"/>
      <c r="H3" s="57"/>
      <c r="I3" s="57"/>
      <c r="J3" s="57"/>
    </row>
    <row r="5" spans="2:10" ht="24" x14ac:dyDescent="0.25">
      <c r="B5" s="6" t="s">
        <v>38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61</v>
      </c>
      <c r="I5" s="6" t="s">
        <v>62</v>
      </c>
      <c r="J5" s="6" t="s">
        <v>63</v>
      </c>
    </row>
    <row r="6" spans="2:10" x14ac:dyDescent="0.25">
      <c r="B6" s="7"/>
      <c r="C6" s="13" t="str">
        <f>IF(B6="","",IFERROR(VLOOKUP(B6,'Cadastro de Produtos'!$B:$C,2,0),""))</f>
        <v/>
      </c>
      <c r="D6" s="9"/>
      <c r="E6" s="14"/>
      <c r="F6" s="7"/>
      <c r="G6" s="14"/>
      <c r="H6" s="15" t="str">
        <f t="shared" ref="H6:H37" si="0">IF(B6="","",IF(OR(E6="",G6="",G6=0),"",(E6-G6)/G6))</f>
        <v/>
      </c>
      <c r="I6" s="16" t="str">
        <f t="shared" ref="I6:I37" si="1">IF(B6="","",IF(D6="","",D6*E6))</f>
        <v/>
      </c>
      <c r="J6" s="8"/>
    </row>
    <row r="7" spans="2:10" x14ac:dyDescent="0.25">
      <c r="B7" s="10"/>
      <c r="C7" s="17" t="str">
        <f>IF(B7="","",IFERROR(VLOOKUP(B7,'Cadastro de Produtos'!$B:$C,2,0),""))</f>
        <v/>
      </c>
      <c r="D7" s="12"/>
      <c r="E7" s="18"/>
      <c r="F7" s="10"/>
      <c r="G7" s="18"/>
      <c r="H7" s="19" t="str">
        <f t="shared" si="0"/>
        <v/>
      </c>
      <c r="I7" s="20" t="str">
        <f t="shared" si="1"/>
        <v/>
      </c>
      <c r="J7" s="11"/>
    </row>
    <row r="8" spans="2:10" x14ac:dyDescent="0.25">
      <c r="B8" s="7"/>
      <c r="C8" s="13" t="str">
        <f>IF(B8="","",IFERROR(VLOOKUP(B8,'Cadastro de Produtos'!$B:$C,2,0),""))</f>
        <v/>
      </c>
      <c r="D8" s="9"/>
      <c r="E8" s="14"/>
      <c r="F8" s="7"/>
      <c r="G8" s="14"/>
      <c r="H8" s="15" t="str">
        <f t="shared" si="0"/>
        <v/>
      </c>
      <c r="I8" s="16" t="str">
        <f t="shared" si="1"/>
        <v/>
      </c>
      <c r="J8" s="8"/>
    </row>
    <row r="9" spans="2:10" x14ac:dyDescent="0.25">
      <c r="B9" s="10"/>
      <c r="C9" s="17" t="str">
        <f>IF(B9="","",IFERROR(VLOOKUP(B9,'Cadastro de Produtos'!$B:$C,2,0),""))</f>
        <v/>
      </c>
      <c r="D9" s="12"/>
      <c r="E9" s="18"/>
      <c r="F9" s="10"/>
      <c r="G9" s="18"/>
      <c r="H9" s="19" t="str">
        <f t="shared" si="0"/>
        <v/>
      </c>
      <c r="I9" s="20" t="str">
        <f t="shared" si="1"/>
        <v/>
      </c>
      <c r="J9" s="11"/>
    </row>
    <row r="10" spans="2:10" x14ac:dyDescent="0.25">
      <c r="B10" s="7"/>
      <c r="C10" s="13" t="str">
        <f>IF(B10="","",IFERROR(VLOOKUP(B10,'Cadastro de Produtos'!$B:$C,2,0),""))</f>
        <v/>
      </c>
      <c r="D10" s="9"/>
      <c r="E10" s="14"/>
      <c r="F10" s="7"/>
      <c r="G10" s="14"/>
      <c r="H10" s="15" t="str">
        <f t="shared" si="0"/>
        <v/>
      </c>
      <c r="I10" s="16" t="str">
        <f t="shared" si="1"/>
        <v/>
      </c>
      <c r="J10" s="8"/>
    </row>
    <row r="11" spans="2:10" x14ac:dyDescent="0.25">
      <c r="B11" s="10"/>
      <c r="C11" s="17" t="str">
        <f>IF(B11="","",IFERROR(VLOOKUP(B11,'Cadastro de Produtos'!$B:$C,2,0),""))</f>
        <v/>
      </c>
      <c r="D11" s="12"/>
      <c r="E11" s="18"/>
      <c r="F11" s="10"/>
      <c r="G11" s="18"/>
      <c r="H11" s="19" t="str">
        <f t="shared" si="0"/>
        <v/>
      </c>
      <c r="I11" s="20" t="str">
        <f t="shared" si="1"/>
        <v/>
      </c>
      <c r="J11" s="11"/>
    </row>
    <row r="12" spans="2:10" x14ac:dyDescent="0.25">
      <c r="B12" s="7"/>
      <c r="C12" s="13" t="str">
        <f>IF(B12="","",IFERROR(VLOOKUP(B12,'Cadastro de Produtos'!$B:$C,2,0),""))</f>
        <v/>
      </c>
      <c r="D12" s="9"/>
      <c r="E12" s="14"/>
      <c r="F12" s="7"/>
      <c r="G12" s="14"/>
      <c r="H12" s="15" t="str">
        <f t="shared" si="0"/>
        <v/>
      </c>
      <c r="I12" s="16" t="str">
        <f t="shared" si="1"/>
        <v/>
      </c>
      <c r="J12" s="8"/>
    </row>
    <row r="13" spans="2:10" x14ac:dyDescent="0.25">
      <c r="B13" s="10"/>
      <c r="C13" s="17" t="str">
        <f>IF(B13="","",IFERROR(VLOOKUP(B13,'Cadastro de Produtos'!$B:$C,2,0),""))</f>
        <v/>
      </c>
      <c r="D13" s="12"/>
      <c r="E13" s="18"/>
      <c r="F13" s="10"/>
      <c r="G13" s="18"/>
      <c r="H13" s="19" t="str">
        <f t="shared" si="0"/>
        <v/>
      </c>
      <c r="I13" s="20" t="str">
        <f t="shared" si="1"/>
        <v/>
      </c>
      <c r="J13" s="11"/>
    </row>
    <row r="14" spans="2:10" x14ac:dyDescent="0.25">
      <c r="B14" s="7"/>
      <c r="C14" s="13" t="str">
        <f>IF(B14="","",IFERROR(VLOOKUP(B14,'Cadastro de Produtos'!$B:$C,2,0),""))</f>
        <v/>
      </c>
      <c r="D14" s="9"/>
      <c r="E14" s="14"/>
      <c r="F14" s="7"/>
      <c r="G14" s="14"/>
      <c r="H14" s="15" t="str">
        <f t="shared" si="0"/>
        <v/>
      </c>
      <c r="I14" s="16" t="str">
        <f t="shared" si="1"/>
        <v/>
      </c>
      <c r="J14" s="8"/>
    </row>
    <row r="15" spans="2:10" x14ac:dyDescent="0.25">
      <c r="B15" s="10"/>
      <c r="C15" s="17" t="str">
        <f>IF(B15="","",IFERROR(VLOOKUP(B15,'Cadastro de Produtos'!$B:$C,2,0),""))</f>
        <v/>
      </c>
      <c r="D15" s="12"/>
      <c r="E15" s="18"/>
      <c r="F15" s="10"/>
      <c r="G15" s="18"/>
      <c r="H15" s="19" t="str">
        <f t="shared" si="0"/>
        <v/>
      </c>
      <c r="I15" s="20" t="str">
        <f t="shared" si="1"/>
        <v/>
      </c>
      <c r="J15" s="11"/>
    </row>
    <row r="16" spans="2:10" x14ac:dyDescent="0.25">
      <c r="B16" s="7"/>
      <c r="C16" s="13" t="str">
        <f>IF(B16="","",IFERROR(VLOOKUP(B16,'Cadastro de Produtos'!$B:$C,2,0),""))</f>
        <v/>
      </c>
      <c r="D16" s="9"/>
      <c r="E16" s="14"/>
      <c r="F16" s="7"/>
      <c r="G16" s="14"/>
      <c r="H16" s="15" t="str">
        <f t="shared" si="0"/>
        <v/>
      </c>
      <c r="I16" s="16" t="str">
        <f t="shared" si="1"/>
        <v/>
      </c>
      <c r="J16" s="8"/>
    </row>
    <row r="17" spans="2:10" x14ac:dyDescent="0.25">
      <c r="B17" s="10"/>
      <c r="C17" s="17" t="str">
        <f>IF(B17="","",IFERROR(VLOOKUP(B17,'Cadastro de Produtos'!$B:$C,2,0),""))</f>
        <v/>
      </c>
      <c r="D17" s="12"/>
      <c r="E17" s="18"/>
      <c r="F17" s="10"/>
      <c r="G17" s="18"/>
      <c r="H17" s="19" t="str">
        <f t="shared" si="0"/>
        <v/>
      </c>
      <c r="I17" s="20" t="str">
        <f t="shared" si="1"/>
        <v/>
      </c>
      <c r="J17" s="11"/>
    </row>
    <row r="18" spans="2:10" x14ac:dyDescent="0.25">
      <c r="B18" s="7"/>
      <c r="C18" s="13" t="str">
        <f>IF(B18="","",IFERROR(VLOOKUP(B18,'Cadastro de Produtos'!$B:$C,2,0),""))</f>
        <v/>
      </c>
      <c r="D18" s="9"/>
      <c r="E18" s="14"/>
      <c r="F18" s="7"/>
      <c r="G18" s="14"/>
      <c r="H18" s="15" t="str">
        <f t="shared" si="0"/>
        <v/>
      </c>
      <c r="I18" s="16" t="str">
        <f t="shared" si="1"/>
        <v/>
      </c>
      <c r="J18" s="8"/>
    </row>
    <row r="19" spans="2:10" x14ac:dyDescent="0.25">
      <c r="B19" s="10"/>
      <c r="C19" s="17" t="str">
        <f>IF(B19="","",IFERROR(VLOOKUP(B19,'Cadastro de Produtos'!$B:$C,2,0),""))</f>
        <v/>
      </c>
      <c r="D19" s="12"/>
      <c r="E19" s="18"/>
      <c r="F19" s="10"/>
      <c r="G19" s="18"/>
      <c r="H19" s="19" t="str">
        <f t="shared" si="0"/>
        <v/>
      </c>
      <c r="I19" s="20" t="str">
        <f t="shared" si="1"/>
        <v/>
      </c>
      <c r="J19" s="11"/>
    </row>
    <row r="20" spans="2:10" x14ac:dyDescent="0.25">
      <c r="B20" s="7"/>
      <c r="C20" s="13" t="str">
        <f>IF(B20="","",IFERROR(VLOOKUP(B20,'Cadastro de Produtos'!$B:$C,2,0),""))</f>
        <v/>
      </c>
      <c r="D20" s="9"/>
      <c r="E20" s="14"/>
      <c r="F20" s="7"/>
      <c r="G20" s="14"/>
      <c r="H20" s="15" t="str">
        <f t="shared" si="0"/>
        <v/>
      </c>
      <c r="I20" s="16" t="str">
        <f t="shared" si="1"/>
        <v/>
      </c>
      <c r="J20" s="8"/>
    </row>
    <row r="21" spans="2:10" x14ac:dyDescent="0.25">
      <c r="B21" s="10"/>
      <c r="C21" s="17" t="str">
        <f>IF(B21="","",IFERROR(VLOOKUP(B21,'Cadastro de Produtos'!$B:$C,2,0),""))</f>
        <v/>
      </c>
      <c r="D21" s="12"/>
      <c r="E21" s="18"/>
      <c r="F21" s="10"/>
      <c r="G21" s="18"/>
      <c r="H21" s="19" t="str">
        <f t="shared" si="0"/>
        <v/>
      </c>
      <c r="I21" s="20" t="str">
        <f t="shared" si="1"/>
        <v/>
      </c>
      <c r="J21" s="11"/>
    </row>
    <row r="22" spans="2:10" x14ac:dyDescent="0.25">
      <c r="B22" s="7"/>
      <c r="C22" s="13" t="str">
        <f>IF(B22="","",IFERROR(VLOOKUP(B22,'Cadastro de Produtos'!$B:$C,2,0),""))</f>
        <v/>
      </c>
      <c r="D22" s="9"/>
      <c r="E22" s="14"/>
      <c r="F22" s="7"/>
      <c r="G22" s="14"/>
      <c r="H22" s="15" t="str">
        <f t="shared" si="0"/>
        <v/>
      </c>
      <c r="I22" s="16" t="str">
        <f t="shared" si="1"/>
        <v/>
      </c>
      <c r="J22" s="8"/>
    </row>
    <row r="23" spans="2:10" x14ac:dyDescent="0.25">
      <c r="B23" s="10"/>
      <c r="C23" s="17" t="str">
        <f>IF(B23="","",IFERROR(VLOOKUP(B23,'Cadastro de Produtos'!$B:$C,2,0),""))</f>
        <v/>
      </c>
      <c r="D23" s="12"/>
      <c r="E23" s="18"/>
      <c r="F23" s="10"/>
      <c r="G23" s="18"/>
      <c r="H23" s="19" t="str">
        <f t="shared" si="0"/>
        <v/>
      </c>
      <c r="I23" s="20" t="str">
        <f t="shared" si="1"/>
        <v/>
      </c>
      <c r="J23" s="11"/>
    </row>
    <row r="24" spans="2:10" x14ac:dyDescent="0.25">
      <c r="B24" s="7"/>
      <c r="C24" s="13" t="str">
        <f>IF(B24="","",IFERROR(VLOOKUP(B24,'Cadastro de Produtos'!$B:$C,2,0),""))</f>
        <v/>
      </c>
      <c r="D24" s="9"/>
      <c r="E24" s="14"/>
      <c r="F24" s="7"/>
      <c r="G24" s="14"/>
      <c r="H24" s="15" t="str">
        <f t="shared" si="0"/>
        <v/>
      </c>
      <c r="I24" s="16" t="str">
        <f t="shared" si="1"/>
        <v/>
      </c>
      <c r="J24" s="8"/>
    </row>
    <row r="25" spans="2:10" x14ac:dyDescent="0.25">
      <c r="B25" s="10"/>
      <c r="C25" s="17" t="str">
        <f>IF(B25="","",IFERROR(VLOOKUP(B25,'Cadastro de Produtos'!$B:$C,2,0),""))</f>
        <v/>
      </c>
      <c r="D25" s="12"/>
      <c r="E25" s="18"/>
      <c r="F25" s="10"/>
      <c r="G25" s="18"/>
      <c r="H25" s="19" t="str">
        <f t="shared" si="0"/>
        <v/>
      </c>
      <c r="I25" s="20" t="str">
        <f t="shared" si="1"/>
        <v/>
      </c>
      <c r="J25" s="11"/>
    </row>
    <row r="26" spans="2:10" x14ac:dyDescent="0.25">
      <c r="B26" s="7"/>
      <c r="C26" s="13" t="str">
        <f>IF(B26="","",IFERROR(VLOOKUP(B26,'Cadastro de Produtos'!$B:$C,2,0),""))</f>
        <v/>
      </c>
      <c r="D26" s="9"/>
      <c r="E26" s="14"/>
      <c r="F26" s="7"/>
      <c r="G26" s="14"/>
      <c r="H26" s="15" t="str">
        <f t="shared" si="0"/>
        <v/>
      </c>
      <c r="I26" s="16" t="str">
        <f t="shared" si="1"/>
        <v/>
      </c>
      <c r="J26" s="8"/>
    </row>
    <row r="27" spans="2:10" x14ac:dyDescent="0.25">
      <c r="B27" s="10"/>
      <c r="C27" s="17" t="str">
        <f>IF(B27="","",IFERROR(VLOOKUP(B27,'Cadastro de Produtos'!$B:$C,2,0),""))</f>
        <v/>
      </c>
      <c r="D27" s="12"/>
      <c r="E27" s="18"/>
      <c r="F27" s="10"/>
      <c r="G27" s="18"/>
      <c r="H27" s="19" t="str">
        <f t="shared" si="0"/>
        <v/>
      </c>
      <c r="I27" s="20" t="str">
        <f t="shared" si="1"/>
        <v/>
      </c>
      <c r="J27" s="11"/>
    </row>
    <row r="28" spans="2:10" x14ac:dyDescent="0.25">
      <c r="B28" s="7"/>
      <c r="C28" s="13" t="str">
        <f>IF(B28="","",IFERROR(VLOOKUP(B28,'Cadastro de Produtos'!$B:$C,2,0),""))</f>
        <v/>
      </c>
      <c r="D28" s="9"/>
      <c r="E28" s="14"/>
      <c r="F28" s="7"/>
      <c r="G28" s="14"/>
      <c r="H28" s="15" t="str">
        <f t="shared" si="0"/>
        <v/>
      </c>
      <c r="I28" s="16" t="str">
        <f t="shared" si="1"/>
        <v/>
      </c>
      <c r="J28" s="8"/>
    </row>
    <row r="29" spans="2:10" x14ac:dyDescent="0.25">
      <c r="B29" s="10"/>
      <c r="C29" s="17" t="str">
        <f>IF(B29="","",IFERROR(VLOOKUP(B29,'Cadastro de Produtos'!$B:$C,2,0),""))</f>
        <v/>
      </c>
      <c r="D29" s="12"/>
      <c r="E29" s="18"/>
      <c r="F29" s="10"/>
      <c r="G29" s="18"/>
      <c r="H29" s="19" t="str">
        <f t="shared" si="0"/>
        <v/>
      </c>
      <c r="I29" s="20" t="str">
        <f t="shared" si="1"/>
        <v/>
      </c>
      <c r="J29" s="11"/>
    </row>
    <row r="30" spans="2:10" x14ac:dyDescent="0.25">
      <c r="B30" s="7"/>
      <c r="C30" s="13" t="str">
        <f>IF(B30="","",IFERROR(VLOOKUP(B30,'Cadastro de Produtos'!$B:$C,2,0),""))</f>
        <v/>
      </c>
      <c r="D30" s="9"/>
      <c r="E30" s="14"/>
      <c r="F30" s="7"/>
      <c r="G30" s="14"/>
      <c r="H30" s="15" t="str">
        <f t="shared" si="0"/>
        <v/>
      </c>
      <c r="I30" s="16" t="str">
        <f t="shared" si="1"/>
        <v/>
      </c>
      <c r="J30" s="8"/>
    </row>
    <row r="31" spans="2:10" x14ac:dyDescent="0.25">
      <c r="B31" s="10"/>
      <c r="C31" s="17" t="str">
        <f>IF(B31="","",IFERROR(VLOOKUP(B31,'Cadastro de Produtos'!$B:$C,2,0),""))</f>
        <v/>
      </c>
      <c r="D31" s="12"/>
      <c r="E31" s="18"/>
      <c r="F31" s="10"/>
      <c r="G31" s="18"/>
      <c r="H31" s="19" t="str">
        <f t="shared" si="0"/>
        <v/>
      </c>
      <c r="I31" s="20" t="str">
        <f t="shared" si="1"/>
        <v/>
      </c>
      <c r="J31" s="11"/>
    </row>
    <row r="32" spans="2:10" x14ac:dyDescent="0.25">
      <c r="B32" s="7"/>
      <c r="C32" s="13" t="str">
        <f>IF(B32="","",IFERROR(VLOOKUP(B32,'Cadastro de Produtos'!$B:$C,2,0),""))</f>
        <v/>
      </c>
      <c r="D32" s="9"/>
      <c r="E32" s="14"/>
      <c r="F32" s="7"/>
      <c r="G32" s="14"/>
      <c r="H32" s="15" t="str">
        <f t="shared" si="0"/>
        <v/>
      </c>
      <c r="I32" s="16" t="str">
        <f t="shared" si="1"/>
        <v/>
      </c>
      <c r="J32" s="8"/>
    </row>
    <row r="33" spans="2:10" x14ac:dyDescent="0.25">
      <c r="B33" s="10"/>
      <c r="C33" s="17" t="str">
        <f>IF(B33="","",IFERROR(VLOOKUP(B33,'Cadastro de Produtos'!$B:$C,2,0),""))</f>
        <v/>
      </c>
      <c r="D33" s="12"/>
      <c r="E33" s="18"/>
      <c r="F33" s="10"/>
      <c r="G33" s="18"/>
      <c r="H33" s="19" t="str">
        <f t="shared" si="0"/>
        <v/>
      </c>
      <c r="I33" s="20" t="str">
        <f t="shared" si="1"/>
        <v/>
      </c>
      <c r="J33" s="11"/>
    </row>
    <row r="34" spans="2:10" x14ac:dyDescent="0.25">
      <c r="B34" s="7"/>
      <c r="C34" s="13" t="str">
        <f>IF(B34="","",IFERROR(VLOOKUP(B34,'Cadastro de Produtos'!$B:$C,2,0),""))</f>
        <v/>
      </c>
      <c r="D34" s="9"/>
      <c r="E34" s="14"/>
      <c r="F34" s="7"/>
      <c r="G34" s="14"/>
      <c r="H34" s="15" t="str">
        <f t="shared" si="0"/>
        <v/>
      </c>
      <c r="I34" s="16" t="str">
        <f t="shared" si="1"/>
        <v/>
      </c>
      <c r="J34" s="8"/>
    </row>
    <row r="35" spans="2:10" x14ac:dyDescent="0.25">
      <c r="B35" s="10"/>
      <c r="C35" s="17" t="str">
        <f>IF(B35="","",IFERROR(VLOOKUP(B35,'Cadastro de Produtos'!$B:$C,2,0),""))</f>
        <v/>
      </c>
      <c r="D35" s="12"/>
      <c r="E35" s="18"/>
      <c r="F35" s="10"/>
      <c r="G35" s="18"/>
      <c r="H35" s="19" t="str">
        <f t="shared" si="0"/>
        <v/>
      </c>
      <c r="I35" s="20" t="str">
        <f t="shared" si="1"/>
        <v/>
      </c>
      <c r="J35" s="11"/>
    </row>
    <row r="36" spans="2:10" x14ac:dyDescent="0.25">
      <c r="B36" s="7"/>
      <c r="C36" s="13" t="str">
        <f>IF(B36="","",IFERROR(VLOOKUP(B36,'Cadastro de Produtos'!$B:$C,2,0),""))</f>
        <v/>
      </c>
      <c r="D36" s="9"/>
      <c r="E36" s="14"/>
      <c r="F36" s="7"/>
      <c r="G36" s="14"/>
      <c r="H36" s="15" t="str">
        <f t="shared" si="0"/>
        <v/>
      </c>
      <c r="I36" s="16" t="str">
        <f t="shared" si="1"/>
        <v/>
      </c>
      <c r="J36" s="8"/>
    </row>
    <row r="37" spans="2:10" x14ac:dyDescent="0.25">
      <c r="B37" s="10"/>
      <c r="C37" s="17" t="str">
        <f>IF(B37="","",IFERROR(VLOOKUP(B37,'Cadastro de Produtos'!$B:$C,2,0),""))</f>
        <v/>
      </c>
      <c r="D37" s="12"/>
      <c r="E37" s="18"/>
      <c r="F37" s="10"/>
      <c r="G37" s="18"/>
      <c r="H37" s="19" t="str">
        <f t="shared" si="0"/>
        <v/>
      </c>
      <c r="I37" s="20" t="str">
        <f t="shared" si="1"/>
        <v/>
      </c>
      <c r="J37" s="11"/>
    </row>
    <row r="38" spans="2:10" x14ac:dyDescent="0.25">
      <c r="B38" s="7"/>
      <c r="C38" s="13" t="str">
        <f>IF(B38="","",IFERROR(VLOOKUP(B38,'Cadastro de Produtos'!$B:$C,2,0),""))</f>
        <v/>
      </c>
      <c r="D38" s="9"/>
      <c r="E38" s="14"/>
      <c r="F38" s="7"/>
      <c r="G38" s="14"/>
      <c r="H38" s="15" t="str">
        <f t="shared" ref="H38:H65" si="2">IF(B38="","",IF(OR(E38="",G38="",G38=0),"",(E38-G38)/G38))</f>
        <v/>
      </c>
      <c r="I38" s="16" t="str">
        <f t="shared" ref="I38:I65" si="3">IF(B38="","",IF(D38="","",D38*E38))</f>
        <v/>
      </c>
      <c r="J38" s="8"/>
    </row>
    <row r="39" spans="2:10" x14ac:dyDescent="0.25">
      <c r="B39" s="10"/>
      <c r="C39" s="17" t="str">
        <f>IF(B39="","",IFERROR(VLOOKUP(B39,'Cadastro de Produtos'!$B:$C,2,0),""))</f>
        <v/>
      </c>
      <c r="D39" s="12"/>
      <c r="E39" s="18"/>
      <c r="F39" s="10"/>
      <c r="G39" s="18"/>
      <c r="H39" s="19" t="str">
        <f t="shared" si="2"/>
        <v/>
      </c>
      <c r="I39" s="20" t="str">
        <f t="shared" si="3"/>
        <v/>
      </c>
      <c r="J39" s="11"/>
    </row>
    <row r="40" spans="2:10" x14ac:dyDescent="0.25">
      <c r="B40" s="7"/>
      <c r="C40" s="13" t="str">
        <f>IF(B40="","",IFERROR(VLOOKUP(B40,'Cadastro de Produtos'!$B:$C,2,0),""))</f>
        <v/>
      </c>
      <c r="D40" s="9"/>
      <c r="E40" s="14"/>
      <c r="F40" s="7"/>
      <c r="G40" s="14"/>
      <c r="H40" s="15" t="str">
        <f t="shared" si="2"/>
        <v/>
      </c>
      <c r="I40" s="16" t="str">
        <f t="shared" si="3"/>
        <v/>
      </c>
      <c r="J40" s="8"/>
    </row>
    <row r="41" spans="2:10" x14ac:dyDescent="0.25">
      <c r="B41" s="10"/>
      <c r="C41" s="17" t="str">
        <f>IF(B41="","",IFERROR(VLOOKUP(B41,'Cadastro de Produtos'!$B:$C,2,0),""))</f>
        <v/>
      </c>
      <c r="D41" s="12"/>
      <c r="E41" s="18"/>
      <c r="F41" s="10"/>
      <c r="G41" s="18"/>
      <c r="H41" s="19" t="str">
        <f t="shared" si="2"/>
        <v/>
      </c>
      <c r="I41" s="20" t="str">
        <f t="shared" si="3"/>
        <v/>
      </c>
      <c r="J41" s="11"/>
    </row>
    <row r="42" spans="2:10" x14ac:dyDescent="0.25">
      <c r="B42" s="7"/>
      <c r="C42" s="13" t="str">
        <f>IF(B42="","",IFERROR(VLOOKUP(B42,'Cadastro de Produtos'!$B:$C,2,0),""))</f>
        <v/>
      </c>
      <c r="D42" s="9"/>
      <c r="E42" s="14"/>
      <c r="F42" s="7"/>
      <c r="G42" s="14"/>
      <c r="H42" s="15" t="str">
        <f t="shared" si="2"/>
        <v/>
      </c>
      <c r="I42" s="16" t="str">
        <f t="shared" si="3"/>
        <v/>
      </c>
      <c r="J42" s="8"/>
    </row>
    <row r="43" spans="2:10" x14ac:dyDescent="0.25">
      <c r="B43" s="10"/>
      <c r="C43" s="17" t="str">
        <f>IF(B43="","",IFERROR(VLOOKUP(B43,'Cadastro de Produtos'!$B:$C,2,0),""))</f>
        <v/>
      </c>
      <c r="D43" s="12"/>
      <c r="E43" s="18"/>
      <c r="F43" s="10"/>
      <c r="G43" s="18"/>
      <c r="H43" s="19" t="str">
        <f t="shared" si="2"/>
        <v/>
      </c>
      <c r="I43" s="20" t="str">
        <f t="shared" si="3"/>
        <v/>
      </c>
      <c r="J43" s="11"/>
    </row>
    <row r="44" spans="2:10" x14ac:dyDescent="0.25">
      <c r="B44" s="7"/>
      <c r="C44" s="13" t="str">
        <f>IF(B44="","",IFERROR(VLOOKUP(B44,'Cadastro de Produtos'!$B:$C,2,0),""))</f>
        <v/>
      </c>
      <c r="D44" s="9"/>
      <c r="E44" s="14"/>
      <c r="F44" s="7"/>
      <c r="G44" s="14"/>
      <c r="H44" s="15" t="str">
        <f t="shared" si="2"/>
        <v/>
      </c>
      <c r="I44" s="16" t="str">
        <f t="shared" si="3"/>
        <v/>
      </c>
      <c r="J44" s="8"/>
    </row>
    <row r="45" spans="2:10" x14ac:dyDescent="0.25">
      <c r="B45" s="10"/>
      <c r="C45" s="17" t="str">
        <f>IF(B45="","",IFERROR(VLOOKUP(B45,'Cadastro de Produtos'!$B:$C,2,0),""))</f>
        <v/>
      </c>
      <c r="D45" s="12"/>
      <c r="E45" s="18"/>
      <c r="F45" s="10"/>
      <c r="G45" s="18"/>
      <c r="H45" s="19" t="str">
        <f t="shared" si="2"/>
        <v/>
      </c>
      <c r="I45" s="20" t="str">
        <f t="shared" si="3"/>
        <v/>
      </c>
      <c r="J45" s="11"/>
    </row>
    <row r="46" spans="2:10" x14ac:dyDescent="0.25">
      <c r="B46" s="7"/>
      <c r="C46" s="13" t="str">
        <f>IF(B46="","",IFERROR(VLOOKUP(B46,'Cadastro de Produtos'!$B:$C,2,0),""))</f>
        <v/>
      </c>
      <c r="D46" s="9"/>
      <c r="E46" s="14"/>
      <c r="F46" s="7"/>
      <c r="G46" s="14"/>
      <c r="H46" s="15" t="str">
        <f t="shared" si="2"/>
        <v/>
      </c>
      <c r="I46" s="16" t="str">
        <f t="shared" si="3"/>
        <v/>
      </c>
      <c r="J46" s="8"/>
    </row>
    <row r="47" spans="2:10" x14ac:dyDescent="0.25">
      <c r="B47" s="10"/>
      <c r="C47" s="17" t="str">
        <f>IF(B47="","",IFERROR(VLOOKUP(B47,'Cadastro de Produtos'!$B:$C,2,0),""))</f>
        <v/>
      </c>
      <c r="D47" s="12"/>
      <c r="E47" s="18"/>
      <c r="F47" s="10"/>
      <c r="G47" s="18"/>
      <c r="H47" s="19" t="str">
        <f t="shared" si="2"/>
        <v/>
      </c>
      <c r="I47" s="20" t="str">
        <f t="shared" si="3"/>
        <v/>
      </c>
      <c r="J47" s="11"/>
    </row>
    <row r="48" spans="2:10" x14ac:dyDescent="0.25">
      <c r="B48" s="7"/>
      <c r="C48" s="13" t="str">
        <f>IF(B48="","",IFERROR(VLOOKUP(B48,'Cadastro de Produtos'!$B:$C,2,0),""))</f>
        <v/>
      </c>
      <c r="D48" s="9"/>
      <c r="E48" s="14"/>
      <c r="F48" s="7"/>
      <c r="G48" s="14"/>
      <c r="H48" s="15" t="str">
        <f t="shared" si="2"/>
        <v/>
      </c>
      <c r="I48" s="16" t="str">
        <f t="shared" si="3"/>
        <v/>
      </c>
      <c r="J48" s="8"/>
    </row>
    <row r="49" spans="2:10" x14ac:dyDescent="0.25">
      <c r="B49" s="10"/>
      <c r="C49" s="17" t="str">
        <f>IF(B49="","",IFERROR(VLOOKUP(B49,'Cadastro de Produtos'!$B:$C,2,0),""))</f>
        <v/>
      </c>
      <c r="D49" s="12"/>
      <c r="E49" s="18"/>
      <c r="F49" s="10"/>
      <c r="G49" s="18"/>
      <c r="H49" s="19" t="str">
        <f t="shared" si="2"/>
        <v/>
      </c>
      <c r="I49" s="20" t="str">
        <f t="shared" si="3"/>
        <v/>
      </c>
      <c r="J49" s="11"/>
    </row>
    <row r="50" spans="2:10" x14ac:dyDescent="0.25">
      <c r="B50" s="7"/>
      <c r="C50" s="13" t="str">
        <f>IF(B50="","",IFERROR(VLOOKUP(B50,'Cadastro de Produtos'!$B:$C,2,0),""))</f>
        <v/>
      </c>
      <c r="D50" s="9"/>
      <c r="E50" s="14"/>
      <c r="F50" s="7"/>
      <c r="G50" s="14"/>
      <c r="H50" s="15" t="str">
        <f t="shared" si="2"/>
        <v/>
      </c>
      <c r="I50" s="16" t="str">
        <f t="shared" si="3"/>
        <v/>
      </c>
      <c r="J50" s="8"/>
    </row>
    <row r="51" spans="2:10" x14ac:dyDescent="0.25">
      <c r="B51" s="10"/>
      <c r="C51" s="17" t="str">
        <f>IF(B51="","",IFERROR(VLOOKUP(B51,'Cadastro de Produtos'!$B:$C,2,0),""))</f>
        <v/>
      </c>
      <c r="D51" s="12"/>
      <c r="E51" s="18"/>
      <c r="F51" s="10"/>
      <c r="G51" s="18"/>
      <c r="H51" s="19" t="str">
        <f t="shared" si="2"/>
        <v/>
      </c>
      <c r="I51" s="20" t="str">
        <f t="shared" si="3"/>
        <v/>
      </c>
      <c r="J51" s="11"/>
    </row>
    <row r="52" spans="2:10" x14ac:dyDescent="0.25">
      <c r="B52" s="7"/>
      <c r="C52" s="13" t="str">
        <f>IF(B52="","",IFERROR(VLOOKUP(B52,'Cadastro de Produtos'!$B:$C,2,0),""))</f>
        <v/>
      </c>
      <c r="D52" s="9"/>
      <c r="E52" s="14"/>
      <c r="F52" s="7"/>
      <c r="G52" s="14"/>
      <c r="H52" s="15" t="str">
        <f t="shared" si="2"/>
        <v/>
      </c>
      <c r="I52" s="16" t="str">
        <f t="shared" si="3"/>
        <v/>
      </c>
      <c r="J52" s="8"/>
    </row>
    <row r="53" spans="2:10" x14ac:dyDescent="0.25">
      <c r="B53" s="10"/>
      <c r="C53" s="17" t="str">
        <f>IF(B53="","",IFERROR(VLOOKUP(B53,'Cadastro de Produtos'!$B:$C,2,0),""))</f>
        <v/>
      </c>
      <c r="D53" s="12"/>
      <c r="E53" s="18"/>
      <c r="F53" s="10"/>
      <c r="G53" s="18"/>
      <c r="H53" s="19" t="str">
        <f t="shared" si="2"/>
        <v/>
      </c>
      <c r="I53" s="20" t="str">
        <f t="shared" si="3"/>
        <v/>
      </c>
      <c r="J53" s="11"/>
    </row>
    <row r="54" spans="2:10" x14ac:dyDescent="0.25">
      <c r="B54" s="7"/>
      <c r="C54" s="13" t="str">
        <f>IF(B54="","",IFERROR(VLOOKUP(B54,'Cadastro de Produtos'!$B:$C,2,0),""))</f>
        <v/>
      </c>
      <c r="D54" s="9"/>
      <c r="E54" s="14"/>
      <c r="F54" s="7"/>
      <c r="G54" s="14"/>
      <c r="H54" s="15" t="str">
        <f t="shared" si="2"/>
        <v/>
      </c>
      <c r="I54" s="16" t="str">
        <f t="shared" si="3"/>
        <v/>
      </c>
      <c r="J54" s="8"/>
    </row>
    <row r="55" spans="2:10" x14ac:dyDescent="0.25">
      <c r="B55" s="10"/>
      <c r="C55" s="17" t="str">
        <f>IF(B55="","",IFERROR(VLOOKUP(B55,'Cadastro de Produtos'!$B:$C,2,0),""))</f>
        <v/>
      </c>
      <c r="D55" s="12"/>
      <c r="E55" s="18"/>
      <c r="F55" s="10"/>
      <c r="G55" s="18"/>
      <c r="H55" s="19" t="str">
        <f t="shared" si="2"/>
        <v/>
      </c>
      <c r="I55" s="20" t="str">
        <f t="shared" si="3"/>
        <v/>
      </c>
      <c r="J55" s="11"/>
    </row>
    <row r="56" spans="2:10" x14ac:dyDescent="0.25">
      <c r="B56" s="7"/>
      <c r="C56" s="13" t="str">
        <f>IF(B56="","",IFERROR(VLOOKUP(B56,'Cadastro de Produtos'!$B:$C,2,0),""))</f>
        <v/>
      </c>
      <c r="D56" s="9"/>
      <c r="E56" s="14"/>
      <c r="F56" s="7"/>
      <c r="G56" s="14"/>
      <c r="H56" s="15" t="str">
        <f t="shared" si="2"/>
        <v/>
      </c>
      <c r="I56" s="16" t="str">
        <f t="shared" si="3"/>
        <v/>
      </c>
      <c r="J56" s="8"/>
    </row>
    <row r="57" spans="2:10" x14ac:dyDescent="0.25">
      <c r="B57" s="10"/>
      <c r="C57" s="17" t="str">
        <f>IF(B57="","",IFERROR(VLOOKUP(B57,'Cadastro de Produtos'!$B:$C,2,0),""))</f>
        <v/>
      </c>
      <c r="D57" s="12"/>
      <c r="E57" s="18"/>
      <c r="F57" s="10"/>
      <c r="G57" s="18"/>
      <c r="H57" s="19" t="str">
        <f t="shared" si="2"/>
        <v/>
      </c>
      <c r="I57" s="20" t="str">
        <f t="shared" si="3"/>
        <v/>
      </c>
      <c r="J57" s="11"/>
    </row>
    <row r="58" spans="2:10" x14ac:dyDescent="0.25">
      <c r="B58" s="7"/>
      <c r="C58" s="13" t="str">
        <f>IF(B58="","",IFERROR(VLOOKUP(B58,'Cadastro de Produtos'!$B:$C,2,0),""))</f>
        <v/>
      </c>
      <c r="D58" s="9"/>
      <c r="E58" s="14"/>
      <c r="F58" s="7"/>
      <c r="G58" s="14"/>
      <c r="H58" s="15" t="str">
        <f t="shared" si="2"/>
        <v/>
      </c>
      <c r="I58" s="16" t="str">
        <f t="shared" si="3"/>
        <v/>
      </c>
      <c r="J58" s="8"/>
    </row>
    <row r="59" spans="2:10" x14ac:dyDescent="0.25">
      <c r="B59" s="10"/>
      <c r="C59" s="17" t="str">
        <f>IF(B59="","",IFERROR(VLOOKUP(B59,'Cadastro de Produtos'!$B:$C,2,0),""))</f>
        <v/>
      </c>
      <c r="D59" s="12"/>
      <c r="E59" s="18"/>
      <c r="F59" s="10"/>
      <c r="G59" s="18"/>
      <c r="H59" s="19" t="str">
        <f t="shared" si="2"/>
        <v/>
      </c>
      <c r="I59" s="20" t="str">
        <f t="shared" si="3"/>
        <v/>
      </c>
      <c r="J59" s="11"/>
    </row>
    <row r="60" spans="2:10" x14ac:dyDescent="0.25">
      <c r="B60" s="7"/>
      <c r="C60" s="13" t="str">
        <f>IF(B60="","",IFERROR(VLOOKUP(B60,'Cadastro de Produtos'!$B:$C,2,0),""))</f>
        <v/>
      </c>
      <c r="D60" s="9"/>
      <c r="E60" s="14"/>
      <c r="F60" s="7"/>
      <c r="G60" s="14"/>
      <c r="H60" s="15" t="str">
        <f t="shared" si="2"/>
        <v/>
      </c>
      <c r="I60" s="16" t="str">
        <f t="shared" si="3"/>
        <v/>
      </c>
      <c r="J60" s="8"/>
    </row>
    <row r="61" spans="2:10" x14ac:dyDescent="0.25">
      <c r="B61" s="10"/>
      <c r="C61" s="17" t="str">
        <f>IF(B61="","",IFERROR(VLOOKUP(B61,'Cadastro de Produtos'!$B:$C,2,0),""))</f>
        <v/>
      </c>
      <c r="D61" s="12"/>
      <c r="E61" s="18"/>
      <c r="F61" s="10"/>
      <c r="G61" s="18"/>
      <c r="H61" s="19" t="str">
        <f t="shared" si="2"/>
        <v/>
      </c>
      <c r="I61" s="20" t="str">
        <f t="shared" si="3"/>
        <v/>
      </c>
      <c r="J61" s="11"/>
    </row>
    <row r="62" spans="2:10" x14ac:dyDescent="0.25">
      <c r="B62" s="7"/>
      <c r="C62" s="13" t="str">
        <f>IF(B62="","",IFERROR(VLOOKUP(B62,'Cadastro de Produtos'!$B:$C,2,0),""))</f>
        <v/>
      </c>
      <c r="D62" s="9"/>
      <c r="E62" s="14"/>
      <c r="F62" s="7"/>
      <c r="G62" s="14"/>
      <c r="H62" s="15" t="str">
        <f t="shared" si="2"/>
        <v/>
      </c>
      <c r="I62" s="16" t="str">
        <f t="shared" si="3"/>
        <v/>
      </c>
      <c r="J62" s="8"/>
    </row>
    <row r="63" spans="2:10" x14ac:dyDescent="0.25">
      <c r="B63" s="10"/>
      <c r="C63" s="17" t="str">
        <f>IF(B63="","",IFERROR(VLOOKUP(B63,'Cadastro de Produtos'!$B:$C,2,0),""))</f>
        <v/>
      </c>
      <c r="D63" s="12"/>
      <c r="E63" s="18"/>
      <c r="F63" s="10"/>
      <c r="G63" s="18"/>
      <c r="H63" s="19" t="str">
        <f t="shared" si="2"/>
        <v/>
      </c>
      <c r="I63" s="20" t="str">
        <f t="shared" si="3"/>
        <v/>
      </c>
      <c r="J63" s="11"/>
    </row>
    <row r="64" spans="2:10" x14ac:dyDescent="0.25">
      <c r="B64" s="7"/>
      <c r="C64" s="13" t="str">
        <f>IF(B64="","",IFERROR(VLOOKUP(B64,'Cadastro de Produtos'!$B:$C,2,0),""))</f>
        <v/>
      </c>
      <c r="D64" s="9"/>
      <c r="E64" s="14"/>
      <c r="F64" s="7"/>
      <c r="G64" s="14"/>
      <c r="H64" s="15" t="str">
        <f t="shared" si="2"/>
        <v/>
      </c>
      <c r="I64" s="16" t="str">
        <f t="shared" si="3"/>
        <v/>
      </c>
      <c r="J64" s="8"/>
    </row>
    <row r="65" spans="2:10" x14ac:dyDescent="0.25">
      <c r="B65" s="10"/>
      <c r="C65" s="17" t="str">
        <f>IF(B65="","",IFERROR(VLOOKUP(B65,'Cadastro de Produtos'!$B:$C,2,0),""))</f>
        <v/>
      </c>
      <c r="D65" s="12"/>
      <c r="E65" s="18"/>
      <c r="F65" s="10"/>
      <c r="G65" s="18"/>
      <c r="H65" s="19" t="str">
        <f t="shared" si="2"/>
        <v/>
      </c>
      <c r="I65" s="20" t="str">
        <f t="shared" si="3"/>
        <v/>
      </c>
      <c r="J65" s="11"/>
    </row>
  </sheetData>
  <sheetProtection sheet="1" autoFilter="0"/>
  <mergeCells count="2">
    <mergeCell ref="B2:J2"/>
    <mergeCell ref="B3:J3"/>
  </mergeCells>
  <conditionalFormatting sqref="B6:J65">
    <cfRule type="expression" dxfId="26" priority="2">
      <formula>$J6="✅ Sim"</formula>
    </cfRule>
    <cfRule type="expression" dxfId="25" priority="3">
      <formula>AND($H6&lt;&gt;"",$H6&gt;0)</formula>
    </cfRule>
    <cfRule type="expression" dxfId="24" priority="4">
      <formula>AND($H6&lt;&gt;"",$H6&lt;0)</formula>
    </cfRule>
  </conditionalFormatting>
  <dataValidations count="1">
    <dataValidation type="list" allowBlank="1" showErrorMessage="1" errorTitle="Opção inválida" error="Escolha uma opção da lista suspensa." sqref="J6:J65" xr:uid="{00000000-0002-0000-0600-000002000000}">
      <formula1>"❌ Não,✅ Sim"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Produto inválido" error="Escolha um produto da lista suspensa. Se não aparece, cadastre-o primeiro na aba Cadastro de Produtos." xr:uid="{00000000-0002-0000-0600-000000000000}">
          <x14:formula1>
            <xm:f>'Cadastro de Produtos'!$B$6:$B$65</xm:f>
          </x14:formula1>
          <x14:formula2>
            <xm:f>0</xm:f>
          </x14:formula2>
          <xm:sqref>B6:B65</xm:sqref>
        </x14:dataValidation>
        <x14:dataValidation type="list" allowBlank="1" showErrorMessage="1" errorTitle="Mercado inválido" error="Escolha um mercado da lista suspensa. Se não aparece, cadastre-o primeiro na aba Cadastro de Produtos." xr:uid="{00000000-0002-0000-0600-000001000000}">
          <x14:formula1>
            <xm:f>'Cadastro de Produtos'!$F$6:$F$25</xm:f>
          </x14:formula1>
          <x14:formula2>
            <xm:f>0</xm:f>
          </x14:formula2>
          <xm:sqref>F6:F65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J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7109375" defaultRowHeight="15" x14ac:dyDescent="0.25"/>
  <cols>
    <col min="1" max="1" width="3" customWidth="1"/>
    <col min="2" max="2" width="22" customWidth="1"/>
    <col min="3" max="3" width="14" customWidth="1"/>
    <col min="4" max="4" width="11" customWidth="1"/>
    <col min="5" max="5" width="13" customWidth="1"/>
    <col min="6" max="6" width="16" customWidth="1"/>
    <col min="7" max="7" width="15" customWidth="1"/>
    <col min="8" max="8" width="13" customWidth="1"/>
    <col min="9" max="9" width="14" customWidth="1"/>
    <col min="10" max="10" width="12" customWidth="1"/>
  </cols>
  <sheetData>
    <row r="2" spans="2:10" ht="27.75" customHeight="1" x14ac:dyDescent="0.25">
      <c r="B2" s="58" t="s">
        <v>68</v>
      </c>
      <c r="C2" s="58"/>
      <c r="D2" s="58"/>
      <c r="E2" s="58"/>
      <c r="F2" s="58"/>
      <c r="G2" s="58"/>
      <c r="H2" s="58"/>
      <c r="I2" s="58"/>
      <c r="J2" s="58"/>
    </row>
    <row r="3" spans="2:10" ht="19.5" customHeight="1" x14ac:dyDescent="0.25">
      <c r="B3" s="57" t="s">
        <v>55</v>
      </c>
      <c r="C3" s="57"/>
      <c r="D3" s="57"/>
      <c r="E3" s="57"/>
      <c r="F3" s="57"/>
      <c r="G3" s="57"/>
      <c r="H3" s="57"/>
      <c r="I3" s="57"/>
      <c r="J3" s="57"/>
    </row>
    <row r="5" spans="2:10" ht="24" x14ac:dyDescent="0.25">
      <c r="B5" s="6" t="s">
        <v>38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61</v>
      </c>
      <c r="I5" s="6" t="s">
        <v>62</v>
      </c>
      <c r="J5" s="6" t="s">
        <v>63</v>
      </c>
    </row>
    <row r="6" spans="2:10" x14ac:dyDescent="0.25">
      <c r="B6" s="7"/>
      <c r="C6" s="13" t="str">
        <f>IF(B6="","",IFERROR(VLOOKUP(B6,'Cadastro de Produtos'!$B:$C,2,0),""))</f>
        <v/>
      </c>
      <c r="D6" s="9"/>
      <c r="E6" s="14"/>
      <c r="F6" s="7"/>
      <c r="G6" s="14"/>
      <c r="H6" s="15" t="str">
        <f t="shared" ref="H6:H37" si="0">IF(B6="","",IF(OR(E6="",G6="",G6=0),"",(E6-G6)/G6))</f>
        <v/>
      </c>
      <c r="I6" s="16" t="str">
        <f t="shared" ref="I6:I37" si="1">IF(B6="","",IF(D6="","",D6*E6))</f>
        <v/>
      </c>
      <c r="J6" s="8"/>
    </row>
    <row r="7" spans="2:10" x14ac:dyDescent="0.25">
      <c r="B7" s="10"/>
      <c r="C7" s="17" t="str">
        <f>IF(B7="","",IFERROR(VLOOKUP(B7,'Cadastro de Produtos'!$B:$C,2,0),""))</f>
        <v/>
      </c>
      <c r="D7" s="12"/>
      <c r="E7" s="18"/>
      <c r="F7" s="10"/>
      <c r="G7" s="18"/>
      <c r="H7" s="19" t="str">
        <f t="shared" si="0"/>
        <v/>
      </c>
      <c r="I7" s="20" t="str">
        <f t="shared" si="1"/>
        <v/>
      </c>
      <c r="J7" s="11"/>
    </row>
    <row r="8" spans="2:10" x14ac:dyDescent="0.25">
      <c r="B8" s="7"/>
      <c r="C8" s="13" t="str">
        <f>IF(B8="","",IFERROR(VLOOKUP(B8,'Cadastro de Produtos'!$B:$C,2,0),""))</f>
        <v/>
      </c>
      <c r="D8" s="9"/>
      <c r="E8" s="14"/>
      <c r="F8" s="7"/>
      <c r="G8" s="14"/>
      <c r="H8" s="15" t="str">
        <f t="shared" si="0"/>
        <v/>
      </c>
      <c r="I8" s="16" t="str">
        <f t="shared" si="1"/>
        <v/>
      </c>
      <c r="J8" s="8"/>
    </row>
    <row r="9" spans="2:10" x14ac:dyDescent="0.25">
      <c r="B9" s="10"/>
      <c r="C9" s="17" t="str">
        <f>IF(B9="","",IFERROR(VLOOKUP(B9,'Cadastro de Produtos'!$B:$C,2,0),""))</f>
        <v/>
      </c>
      <c r="D9" s="12"/>
      <c r="E9" s="18"/>
      <c r="F9" s="10"/>
      <c r="G9" s="18"/>
      <c r="H9" s="19" t="str">
        <f t="shared" si="0"/>
        <v/>
      </c>
      <c r="I9" s="20" t="str">
        <f t="shared" si="1"/>
        <v/>
      </c>
      <c r="J9" s="11"/>
    </row>
    <row r="10" spans="2:10" x14ac:dyDescent="0.25">
      <c r="B10" s="7"/>
      <c r="C10" s="13" t="str">
        <f>IF(B10="","",IFERROR(VLOOKUP(B10,'Cadastro de Produtos'!$B:$C,2,0),""))</f>
        <v/>
      </c>
      <c r="D10" s="9"/>
      <c r="E10" s="14"/>
      <c r="F10" s="7"/>
      <c r="G10" s="14"/>
      <c r="H10" s="15" t="str">
        <f t="shared" si="0"/>
        <v/>
      </c>
      <c r="I10" s="16" t="str">
        <f t="shared" si="1"/>
        <v/>
      </c>
      <c r="J10" s="8"/>
    </row>
    <row r="11" spans="2:10" x14ac:dyDescent="0.25">
      <c r="B11" s="10"/>
      <c r="C11" s="17" t="str">
        <f>IF(B11="","",IFERROR(VLOOKUP(B11,'Cadastro de Produtos'!$B:$C,2,0),""))</f>
        <v/>
      </c>
      <c r="D11" s="12"/>
      <c r="E11" s="18"/>
      <c r="F11" s="10"/>
      <c r="G11" s="18"/>
      <c r="H11" s="19" t="str">
        <f t="shared" si="0"/>
        <v/>
      </c>
      <c r="I11" s="20" t="str">
        <f t="shared" si="1"/>
        <v/>
      </c>
      <c r="J11" s="11"/>
    </row>
    <row r="12" spans="2:10" x14ac:dyDescent="0.25">
      <c r="B12" s="7"/>
      <c r="C12" s="13" t="str">
        <f>IF(B12="","",IFERROR(VLOOKUP(B12,'Cadastro de Produtos'!$B:$C,2,0),""))</f>
        <v/>
      </c>
      <c r="D12" s="9"/>
      <c r="E12" s="14"/>
      <c r="F12" s="7"/>
      <c r="G12" s="14"/>
      <c r="H12" s="15" t="str">
        <f t="shared" si="0"/>
        <v/>
      </c>
      <c r="I12" s="16" t="str">
        <f t="shared" si="1"/>
        <v/>
      </c>
      <c r="J12" s="8"/>
    </row>
    <row r="13" spans="2:10" x14ac:dyDescent="0.25">
      <c r="B13" s="10"/>
      <c r="C13" s="17" t="str">
        <f>IF(B13="","",IFERROR(VLOOKUP(B13,'Cadastro de Produtos'!$B:$C,2,0),""))</f>
        <v/>
      </c>
      <c r="D13" s="12"/>
      <c r="E13" s="18"/>
      <c r="F13" s="10"/>
      <c r="G13" s="18"/>
      <c r="H13" s="19" t="str">
        <f t="shared" si="0"/>
        <v/>
      </c>
      <c r="I13" s="20" t="str">
        <f t="shared" si="1"/>
        <v/>
      </c>
      <c r="J13" s="11"/>
    </row>
    <row r="14" spans="2:10" x14ac:dyDescent="0.25">
      <c r="B14" s="7"/>
      <c r="C14" s="13" t="str">
        <f>IF(B14="","",IFERROR(VLOOKUP(B14,'Cadastro de Produtos'!$B:$C,2,0),""))</f>
        <v/>
      </c>
      <c r="D14" s="9"/>
      <c r="E14" s="14"/>
      <c r="F14" s="7"/>
      <c r="G14" s="14"/>
      <c r="H14" s="15" t="str">
        <f t="shared" si="0"/>
        <v/>
      </c>
      <c r="I14" s="16" t="str">
        <f t="shared" si="1"/>
        <v/>
      </c>
      <c r="J14" s="8"/>
    </row>
    <row r="15" spans="2:10" x14ac:dyDescent="0.25">
      <c r="B15" s="10"/>
      <c r="C15" s="17" t="str">
        <f>IF(B15="","",IFERROR(VLOOKUP(B15,'Cadastro de Produtos'!$B:$C,2,0),""))</f>
        <v/>
      </c>
      <c r="D15" s="12"/>
      <c r="E15" s="18"/>
      <c r="F15" s="10"/>
      <c r="G15" s="18"/>
      <c r="H15" s="19" t="str">
        <f t="shared" si="0"/>
        <v/>
      </c>
      <c r="I15" s="20" t="str">
        <f t="shared" si="1"/>
        <v/>
      </c>
      <c r="J15" s="11"/>
    </row>
    <row r="16" spans="2:10" x14ac:dyDescent="0.25">
      <c r="B16" s="7"/>
      <c r="C16" s="13" t="str">
        <f>IF(B16="","",IFERROR(VLOOKUP(B16,'Cadastro de Produtos'!$B:$C,2,0),""))</f>
        <v/>
      </c>
      <c r="D16" s="9"/>
      <c r="E16" s="14"/>
      <c r="F16" s="7"/>
      <c r="G16" s="14"/>
      <c r="H16" s="15" t="str">
        <f t="shared" si="0"/>
        <v/>
      </c>
      <c r="I16" s="16" t="str">
        <f t="shared" si="1"/>
        <v/>
      </c>
      <c r="J16" s="8"/>
    </row>
    <row r="17" spans="2:10" x14ac:dyDescent="0.25">
      <c r="B17" s="10"/>
      <c r="C17" s="17" t="str">
        <f>IF(B17="","",IFERROR(VLOOKUP(B17,'Cadastro de Produtos'!$B:$C,2,0),""))</f>
        <v/>
      </c>
      <c r="D17" s="12"/>
      <c r="E17" s="18"/>
      <c r="F17" s="10"/>
      <c r="G17" s="18"/>
      <c r="H17" s="19" t="str">
        <f t="shared" si="0"/>
        <v/>
      </c>
      <c r="I17" s="20" t="str">
        <f t="shared" si="1"/>
        <v/>
      </c>
      <c r="J17" s="11"/>
    </row>
    <row r="18" spans="2:10" x14ac:dyDescent="0.25">
      <c r="B18" s="7"/>
      <c r="C18" s="13" t="str">
        <f>IF(B18="","",IFERROR(VLOOKUP(B18,'Cadastro de Produtos'!$B:$C,2,0),""))</f>
        <v/>
      </c>
      <c r="D18" s="9"/>
      <c r="E18" s="14"/>
      <c r="F18" s="7"/>
      <c r="G18" s="14"/>
      <c r="H18" s="15" t="str">
        <f t="shared" si="0"/>
        <v/>
      </c>
      <c r="I18" s="16" t="str">
        <f t="shared" si="1"/>
        <v/>
      </c>
      <c r="J18" s="8"/>
    </row>
    <row r="19" spans="2:10" x14ac:dyDescent="0.25">
      <c r="B19" s="10"/>
      <c r="C19" s="17" t="str">
        <f>IF(B19="","",IFERROR(VLOOKUP(B19,'Cadastro de Produtos'!$B:$C,2,0),""))</f>
        <v/>
      </c>
      <c r="D19" s="12"/>
      <c r="E19" s="18"/>
      <c r="F19" s="10"/>
      <c r="G19" s="18"/>
      <c r="H19" s="19" t="str">
        <f t="shared" si="0"/>
        <v/>
      </c>
      <c r="I19" s="20" t="str">
        <f t="shared" si="1"/>
        <v/>
      </c>
      <c r="J19" s="11"/>
    </row>
    <row r="20" spans="2:10" x14ac:dyDescent="0.25">
      <c r="B20" s="7"/>
      <c r="C20" s="13" t="str">
        <f>IF(B20="","",IFERROR(VLOOKUP(B20,'Cadastro de Produtos'!$B:$C,2,0),""))</f>
        <v/>
      </c>
      <c r="D20" s="9"/>
      <c r="E20" s="14"/>
      <c r="F20" s="7"/>
      <c r="G20" s="14"/>
      <c r="H20" s="15" t="str">
        <f t="shared" si="0"/>
        <v/>
      </c>
      <c r="I20" s="16" t="str">
        <f t="shared" si="1"/>
        <v/>
      </c>
      <c r="J20" s="8"/>
    </row>
    <row r="21" spans="2:10" x14ac:dyDescent="0.25">
      <c r="B21" s="10"/>
      <c r="C21" s="17" t="str">
        <f>IF(B21="","",IFERROR(VLOOKUP(B21,'Cadastro de Produtos'!$B:$C,2,0),""))</f>
        <v/>
      </c>
      <c r="D21" s="12"/>
      <c r="E21" s="18"/>
      <c r="F21" s="10"/>
      <c r="G21" s="18"/>
      <c r="H21" s="19" t="str">
        <f t="shared" si="0"/>
        <v/>
      </c>
      <c r="I21" s="20" t="str">
        <f t="shared" si="1"/>
        <v/>
      </c>
      <c r="J21" s="11"/>
    </row>
    <row r="22" spans="2:10" x14ac:dyDescent="0.25">
      <c r="B22" s="7"/>
      <c r="C22" s="13" t="str">
        <f>IF(B22="","",IFERROR(VLOOKUP(B22,'Cadastro de Produtos'!$B:$C,2,0),""))</f>
        <v/>
      </c>
      <c r="D22" s="9"/>
      <c r="E22" s="14"/>
      <c r="F22" s="7"/>
      <c r="G22" s="14"/>
      <c r="H22" s="15" t="str">
        <f t="shared" si="0"/>
        <v/>
      </c>
      <c r="I22" s="16" t="str">
        <f t="shared" si="1"/>
        <v/>
      </c>
      <c r="J22" s="8"/>
    </row>
    <row r="23" spans="2:10" x14ac:dyDescent="0.25">
      <c r="B23" s="10"/>
      <c r="C23" s="17" t="str">
        <f>IF(B23="","",IFERROR(VLOOKUP(B23,'Cadastro de Produtos'!$B:$C,2,0),""))</f>
        <v/>
      </c>
      <c r="D23" s="12"/>
      <c r="E23" s="18"/>
      <c r="F23" s="10"/>
      <c r="G23" s="18"/>
      <c r="H23" s="19" t="str">
        <f t="shared" si="0"/>
        <v/>
      </c>
      <c r="I23" s="20" t="str">
        <f t="shared" si="1"/>
        <v/>
      </c>
      <c r="J23" s="11"/>
    </row>
    <row r="24" spans="2:10" x14ac:dyDescent="0.25">
      <c r="B24" s="7"/>
      <c r="C24" s="13" t="str">
        <f>IF(B24="","",IFERROR(VLOOKUP(B24,'Cadastro de Produtos'!$B:$C,2,0),""))</f>
        <v/>
      </c>
      <c r="D24" s="9"/>
      <c r="E24" s="14"/>
      <c r="F24" s="7"/>
      <c r="G24" s="14"/>
      <c r="H24" s="15" t="str">
        <f t="shared" si="0"/>
        <v/>
      </c>
      <c r="I24" s="16" t="str">
        <f t="shared" si="1"/>
        <v/>
      </c>
      <c r="J24" s="8"/>
    </row>
    <row r="25" spans="2:10" x14ac:dyDescent="0.25">
      <c r="B25" s="10"/>
      <c r="C25" s="17" t="str">
        <f>IF(B25="","",IFERROR(VLOOKUP(B25,'Cadastro de Produtos'!$B:$C,2,0),""))</f>
        <v/>
      </c>
      <c r="D25" s="12"/>
      <c r="E25" s="18"/>
      <c r="F25" s="10"/>
      <c r="G25" s="18"/>
      <c r="H25" s="19" t="str">
        <f t="shared" si="0"/>
        <v/>
      </c>
      <c r="I25" s="20" t="str">
        <f t="shared" si="1"/>
        <v/>
      </c>
      <c r="J25" s="11"/>
    </row>
    <row r="26" spans="2:10" x14ac:dyDescent="0.25">
      <c r="B26" s="7"/>
      <c r="C26" s="13" t="str">
        <f>IF(B26="","",IFERROR(VLOOKUP(B26,'Cadastro de Produtos'!$B:$C,2,0),""))</f>
        <v/>
      </c>
      <c r="D26" s="9"/>
      <c r="E26" s="14"/>
      <c r="F26" s="7"/>
      <c r="G26" s="14"/>
      <c r="H26" s="15" t="str">
        <f t="shared" si="0"/>
        <v/>
      </c>
      <c r="I26" s="16" t="str">
        <f t="shared" si="1"/>
        <v/>
      </c>
      <c r="J26" s="8"/>
    </row>
    <row r="27" spans="2:10" x14ac:dyDescent="0.25">
      <c r="B27" s="10"/>
      <c r="C27" s="17" t="str">
        <f>IF(B27="","",IFERROR(VLOOKUP(B27,'Cadastro de Produtos'!$B:$C,2,0),""))</f>
        <v/>
      </c>
      <c r="D27" s="12"/>
      <c r="E27" s="18"/>
      <c r="F27" s="10"/>
      <c r="G27" s="18"/>
      <c r="H27" s="19" t="str">
        <f t="shared" si="0"/>
        <v/>
      </c>
      <c r="I27" s="20" t="str">
        <f t="shared" si="1"/>
        <v/>
      </c>
      <c r="J27" s="11"/>
    </row>
    <row r="28" spans="2:10" x14ac:dyDescent="0.25">
      <c r="B28" s="7"/>
      <c r="C28" s="13" t="str">
        <f>IF(B28="","",IFERROR(VLOOKUP(B28,'Cadastro de Produtos'!$B:$C,2,0),""))</f>
        <v/>
      </c>
      <c r="D28" s="9"/>
      <c r="E28" s="14"/>
      <c r="F28" s="7"/>
      <c r="G28" s="14"/>
      <c r="H28" s="15" t="str">
        <f t="shared" si="0"/>
        <v/>
      </c>
      <c r="I28" s="16" t="str">
        <f t="shared" si="1"/>
        <v/>
      </c>
      <c r="J28" s="8"/>
    </row>
    <row r="29" spans="2:10" x14ac:dyDescent="0.25">
      <c r="B29" s="10"/>
      <c r="C29" s="17" t="str">
        <f>IF(B29="","",IFERROR(VLOOKUP(B29,'Cadastro de Produtos'!$B:$C,2,0),""))</f>
        <v/>
      </c>
      <c r="D29" s="12"/>
      <c r="E29" s="18"/>
      <c r="F29" s="10"/>
      <c r="G29" s="18"/>
      <c r="H29" s="19" t="str">
        <f t="shared" si="0"/>
        <v/>
      </c>
      <c r="I29" s="20" t="str">
        <f t="shared" si="1"/>
        <v/>
      </c>
      <c r="J29" s="11"/>
    </row>
    <row r="30" spans="2:10" x14ac:dyDescent="0.25">
      <c r="B30" s="7"/>
      <c r="C30" s="13" t="str">
        <f>IF(B30="","",IFERROR(VLOOKUP(B30,'Cadastro de Produtos'!$B:$C,2,0),""))</f>
        <v/>
      </c>
      <c r="D30" s="9"/>
      <c r="E30" s="14"/>
      <c r="F30" s="7"/>
      <c r="G30" s="14"/>
      <c r="H30" s="15" t="str">
        <f t="shared" si="0"/>
        <v/>
      </c>
      <c r="I30" s="16" t="str">
        <f t="shared" si="1"/>
        <v/>
      </c>
      <c r="J30" s="8"/>
    </row>
    <row r="31" spans="2:10" x14ac:dyDescent="0.25">
      <c r="B31" s="10"/>
      <c r="C31" s="17" t="str">
        <f>IF(B31="","",IFERROR(VLOOKUP(B31,'Cadastro de Produtos'!$B:$C,2,0),""))</f>
        <v/>
      </c>
      <c r="D31" s="12"/>
      <c r="E31" s="18"/>
      <c r="F31" s="10"/>
      <c r="G31" s="18"/>
      <c r="H31" s="19" t="str">
        <f t="shared" si="0"/>
        <v/>
      </c>
      <c r="I31" s="20" t="str">
        <f t="shared" si="1"/>
        <v/>
      </c>
      <c r="J31" s="11"/>
    </row>
    <row r="32" spans="2:10" x14ac:dyDescent="0.25">
      <c r="B32" s="7"/>
      <c r="C32" s="13" t="str">
        <f>IF(B32="","",IFERROR(VLOOKUP(B32,'Cadastro de Produtos'!$B:$C,2,0),""))</f>
        <v/>
      </c>
      <c r="D32" s="9"/>
      <c r="E32" s="14"/>
      <c r="F32" s="7"/>
      <c r="G32" s="14"/>
      <c r="H32" s="15" t="str">
        <f t="shared" si="0"/>
        <v/>
      </c>
      <c r="I32" s="16" t="str">
        <f t="shared" si="1"/>
        <v/>
      </c>
      <c r="J32" s="8"/>
    </row>
    <row r="33" spans="2:10" x14ac:dyDescent="0.25">
      <c r="B33" s="10"/>
      <c r="C33" s="17" t="str">
        <f>IF(B33="","",IFERROR(VLOOKUP(B33,'Cadastro de Produtos'!$B:$C,2,0),""))</f>
        <v/>
      </c>
      <c r="D33" s="12"/>
      <c r="E33" s="18"/>
      <c r="F33" s="10"/>
      <c r="G33" s="18"/>
      <c r="H33" s="19" t="str">
        <f t="shared" si="0"/>
        <v/>
      </c>
      <c r="I33" s="20" t="str">
        <f t="shared" si="1"/>
        <v/>
      </c>
      <c r="J33" s="11"/>
    </row>
    <row r="34" spans="2:10" x14ac:dyDescent="0.25">
      <c r="B34" s="7"/>
      <c r="C34" s="13" t="str">
        <f>IF(B34="","",IFERROR(VLOOKUP(B34,'Cadastro de Produtos'!$B:$C,2,0),""))</f>
        <v/>
      </c>
      <c r="D34" s="9"/>
      <c r="E34" s="14"/>
      <c r="F34" s="7"/>
      <c r="G34" s="14"/>
      <c r="H34" s="15" t="str">
        <f t="shared" si="0"/>
        <v/>
      </c>
      <c r="I34" s="16" t="str">
        <f t="shared" si="1"/>
        <v/>
      </c>
      <c r="J34" s="8"/>
    </row>
    <row r="35" spans="2:10" x14ac:dyDescent="0.25">
      <c r="B35" s="10"/>
      <c r="C35" s="17" t="str">
        <f>IF(B35="","",IFERROR(VLOOKUP(B35,'Cadastro de Produtos'!$B:$C,2,0),""))</f>
        <v/>
      </c>
      <c r="D35" s="12"/>
      <c r="E35" s="18"/>
      <c r="F35" s="10"/>
      <c r="G35" s="18"/>
      <c r="H35" s="19" t="str">
        <f t="shared" si="0"/>
        <v/>
      </c>
      <c r="I35" s="20" t="str">
        <f t="shared" si="1"/>
        <v/>
      </c>
      <c r="J35" s="11"/>
    </row>
    <row r="36" spans="2:10" x14ac:dyDescent="0.25">
      <c r="B36" s="7"/>
      <c r="C36" s="13" t="str">
        <f>IF(B36="","",IFERROR(VLOOKUP(B36,'Cadastro de Produtos'!$B:$C,2,0),""))</f>
        <v/>
      </c>
      <c r="D36" s="9"/>
      <c r="E36" s="14"/>
      <c r="F36" s="7"/>
      <c r="G36" s="14"/>
      <c r="H36" s="15" t="str">
        <f t="shared" si="0"/>
        <v/>
      </c>
      <c r="I36" s="16" t="str">
        <f t="shared" si="1"/>
        <v/>
      </c>
      <c r="J36" s="8"/>
    </row>
    <row r="37" spans="2:10" x14ac:dyDescent="0.25">
      <c r="B37" s="10"/>
      <c r="C37" s="17" t="str">
        <f>IF(B37="","",IFERROR(VLOOKUP(B37,'Cadastro de Produtos'!$B:$C,2,0),""))</f>
        <v/>
      </c>
      <c r="D37" s="12"/>
      <c r="E37" s="18"/>
      <c r="F37" s="10"/>
      <c r="G37" s="18"/>
      <c r="H37" s="19" t="str">
        <f t="shared" si="0"/>
        <v/>
      </c>
      <c r="I37" s="20" t="str">
        <f t="shared" si="1"/>
        <v/>
      </c>
      <c r="J37" s="11"/>
    </row>
    <row r="38" spans="2:10" x14ac:dyDescent="0.25">
      <c r="B38" s="7"/>
      <c r="C38" s="13" t="str">
        <f>IF(B38="","",IFERROR(VLOOKUP(B38,'Cadastro de Produtos'!$B:$C,2,0),""))</f>
        <v/>
      </c>
      <c r="D38" s="9"/>
      <c r="E38" s="14"/>
      <c r="F38" s="7"/>
      <c r="G38" s="14"/>
      <c r="H38" s="15" t="str">
        <f t="shared" ref="H38:H65" si="2">IF(B38="","",IF(OR(E38="",G38="",G38=0),"",(E38-G38)/G38))</f>
        <v/>
      </c>
      <c r="I38" s="16" t="str">
        <f t="shared" ref="I38:I65" si="3">IF(B38="","",IF(D38="","",D38*E38))</f>
        <v/>
      </c>
      <c r="J38" s="8"/>
    </row>
    <row r="39" spans="2:10" x14ac:dyDescent="0.25">
      <c r="B39" s="10"/>
      <c r="C39" s="17" t="str">
        <f>IF(B39="","",IFERROR(VLOOKUP(B39,'Cadastro de Produtos'!$B:$C,2,0),""))</f>
        <v/>
      </c>
      <c r="D39" s="12"/>
      <c r="E39" s="18"/>
      <c r="F39" s="10"/>
      <c r="G39" s="18"/>
      <c r="H39" s="19" t="str">
        <f t="shared" si="2"/>
        <v/>
      </c>
      <c r="I39" s="20" t="str">
        <f t="shared" si="3"/>
        <v/>
      </c>
      <c r="J39" s="11"/>
    </row>
    <row r="40" spans="2:10" x14ac:dyDescent="0.25">
      <c r="B40" s="7"/>
      <c r="C40" s="13" t="str">
        <f>IF(B40="","",IFERROR(VLOOKUP(B40,'Cadastro de Produtos'!$B:$C,2,0),""))</f>
        <v/>
      </c>
      <c r="D40" s="9"/>
      <c r="E40" s="14"/>
      <c r="F40" s="7"/>
      <c r="G40" s="14"/>
      <c r="H40" s="15" t="str">
        <f t="shared" si="2"/>
        <v/>
      </c>
      <c r="I40" s="16" t="str">
        <f t="shared" si="3"/>
        <v/>
      </c>
      <c r="J40" s="8"/>
    </row>
    <row r="41" spans="2:10" x14ac:dyDescent="0.25">
      <c r="B41" s="10"/>
      <c r="C41" s="17" t="str">
        <f>IF(B41="","",IFERROR(VLOOKUP(B41,'Cadastro de Produtos'!$B:$C,2,0),""))</f>
        <v/>
      </c>
      <c r="D41" s="12"/>
      <c r="E41" s="18"/>
      <c r="F41" s="10"/>
      <c r="G41" s="18"/>
      <c r="H41" s="19" t="str">
        <f t="shared" si="2"/>
        <v/>
      </c>
      <c r="I41" s="20" t="str">
        <f t="shared" si="3"/>
        <v/>
      </c>
      <c r="J41" s="11"/>
    </row>
    <row r="42" spans="2:10" x14ac:dyDescent="0.25">
      <c r="B42" s="7"/>
      <c r="C42" s="13" t="str">
        <f>IF(B42="","",IFERROR(VLOOKUP(B42,'Cadastro de Produtos'!$B:$C,2,0),""))</f>
        <v/>
      </c>
      <c r="D42" s="9"/>
      <c r="E42" s="14"/>
      <c r="F42" s="7"/>
      <c r="G42" s="14"/>
      <c r="H42" s="15" t="str">
        <f t="shared" si="2"/>
        <v/>
      </c>
      <c r="I42" s="16" t="str">
        <f t="shared" si="3"/>
        <v/>
      </c>
      <c r="J42" s="8"/>
    </row>
    <row r="43" spans="2:10" x14ac:dyDescent="0.25">
      <c r="B43" s="10"/>
      <c r="C43" s="17" t="str">
        <f>IF(B43="","",IFERROR(VLOOKUP(B43,'Cadastro de Produtos'!$B:$C,2,0),""))</f>
        <v/>
      </c>
      <c r="D43" s="12"/>
      <c r="E43" s="18"/>
      <c r="F43" s="10"/>
      <c r="G43" s="18"/>
      <c r="H43" s="19" t="str">
        <f t="shared" si="2"/>
        <v/>
      </c>
      <c r="I43" s="20" t="str">
        <f t="shared" si="3"/>
        <v/>
      </c>
      <c r="J43" s="11"/>
    </row>
    <row r="44" spans="2:10" x14ac:dyDescent="0.25">
      <c r="B44" s="7"/>
      <c r="C44" s="13" t="str">
        <f>IF(B44="","",IFERROR(VLOOKUP(B44,'Cadastro de Produtos'!$B:$C,2,0),""))</f>
        <v/>
      </c>
      <c r="D44" s="9"/>
      <c r="E44" s="14"/>
      <c r="F44" s="7"/>
      <c r="G44" s="14"/>
      <c r="H44" s="15" t="str">
        <f t="shared" si="2"/>
        <v/>
      </c>
      <c r="I44" s="16" t="str">
        <f t="shared" si="3"/>
        <v/>
      </c>
      <c r="J44" s="8"/>
    </row>
    <row r="45" spans="2:10" x14ac:dyDescent="0.25">
      <c r="B45" s="10"/>
      <c r="C45" s="17" t="str">
        <f>IF(B45="","",IFERROR(VLOOKUP(B45,'Cadastro de Produtos'!$B:$C,2,0),""))</f>
        <v/>
      </c>
      <c r="D45" s="12"/>
      <c r="E45" s="18"/>
      <c r="F45" s="10"/>
      <c r="G45" s="18"/>
      <c r="H45" s="19" t="str">
        <f t="shared" si="2"/>
        <v/>
      </c>
      <c r="I45" s="20" t="str">
        <f t="shared" si="3"/>
        <v/>
      </c>
      <c r="J45" s="11"/>
    </row>
    <row r="46" spans="2:10" x14ac:dyDescent="0.25">
      <c r="B46" s="7"/>
      <c r="C46" s="13" t="str">
        <f>IF(B46="","",IFERROR(VLOOKUP(B46,'Cadastro de Produtos'!$B:$C,2,0),""))</f>
        <v/>
      </c>
      <c r="D46" s="9"/>
      <c r="E46" s="14"/>
      <c r="F46" s="7"/>
      <c r="G46" s="14"/>
      <c r="H46" s="15" t="str">
        <f t="shared" si="2"/>
        <v/>
      </c>
      <c r="I46" s="16" t="str">
        <f t="shared" si="3"/>
        <v/>
      </c>
      <c r="J46" s="8"/>
    </row>
    <row r="47" spans="2:10" x14ac:dyDescent="0.25">
      <c r="B47" s="10"/>
      <c r="C47" s="17" t="str">
        <f>IF(B47="","",IFERROR(VLOOKUP(B47,'Cadastro de Produtos'!$B:$C,2,0),""))</f>
        <v/>
      </c>
      <c r="D47" s="12"/>
      <c r="E47" s="18"/>
      <c r="F47" s="10"/>
      <c r="G47" s="18"/>
      <c r="H47" s="19" t="str">
        <f t="shared" si="2"/>
        <v/>
      </c>
      <c r="I47" s="20" t="str">
        <f t="shared" si="3"/>
        <v/>
      </c>
      <c r="J47" s="11"/>
    </row>
    <row r="48" spans="2:10" x14ac:dyDescent="0.25">
      <c r="B48" s="7"/>
      <c r="C48" s="13" t="str">
        <f>IF(B48="","",IFERROR(VLOOKUP(B48,'Cadastro de Produtos'!$B:$C,2,0),""))</f>
        <v/>
      </c>
      <c r="D48" s="9"/>
      <c r="E48" s="14"/>
      <c r="F48" s="7"/>
      <c r="G48" s="14"/>
      <c r="H48" s="15" t="str">
        <f t="shared" si="2"/>
        <v/>
      </c>
      <c r="I48" s="16" t="str">
        <f t="shared" si="3"/>
        <v/>
      </c>
      <c r="J48" s="8"/>
    </row>
    <row r="49" spans="2:10" x14ac:dyDescent="0.25">
      <c r="B49" s="10"/>
      <c r="C49" s="17" t="str">
        <f>IF(B49="","",IFERROR(VLOOKUP(B49,'Cadastro de Produtos'!$B:$C,2,0),""))</f>
        <v/>
      </c>
      <c r="D49" s="12"/>
      <c r="E49" s="18"/>
      <c r="F49" s="10"/>
      <c r="G49" s="18"/>
      <c r="H49" s="19" t="str">
        <f t="shared" si="2"/>
        <v/>
      </c>
      <c r="I49" s="20" t="str">
        <f t="shared" si="3"/>
        <v/>
      </c>
      <c r="J49" s="11"/>
    </row>
    <row r="50" spans="2:10" x14ac:dyDescent="0.25">
      <c r="B50" s="7"/>
      <c r="C50" s="13" t="str">
        <f>IF(B50="","",IFERROR(VLOOKUP(B50,'Cadastro de Produtos'!$B:$C,2,0),""))</f>
        <v/>
      </c>
      <c r="D50" s="9"/>
      <c r="E50" s="14"/>
      <c r="F50" s="7"/>
      <c r="G50" s="14"/>
      <c r="H50" s="15" t="str">
        <f t="shared" si="2"/>
        <v/>
      </c>
      <c r="I50" s="16" t="str">
        <f t="shared" si="3"/>
        <v/>
      </c>
      <c r="J50" s="8"/>
    </row>
    <row r="51" spans="2:10" x14ac:dyDescent="0.25">
      <c r="B51" s="10"/>
      <c r="C51" s="17" t="str">
        <f>IF(B51="","",IFERROR(VLOOKUP(B51,'Cadastro de Produtos'!$B:$C,2,0),""))</f>
        <v/>
      </c>
      <c r="D51" s="12"/>
      <c r="E51" s="18"/>
      <c r="F51" s="10"/>
      <c r="G51" s="18"/>
      <c r="H51" s="19" t="str">
        <f t="shared" si="2"/>
        <v/>
      </c>
      <c r="I51" s="20" t="str">
        <f t="shared" si="3"/>
        <v/>
      </c>
      <c r="J51" s="11"/>
    </row>
    <row r="52" spans="2:10" x14ac:dyDescent="0.25">
      <c r="B52" s="7"/>
      <c r="C52" s="13" t="str">
        <f>IF(B52="","",IFERROR(VLOOKUP(B52,'Cadastro de Produtos'!$B:$C,2,0),""))</f>
        <v/>
      </c>
      <c r="D52" s="9"/>
      <c r="E52" s="14"/>
      <c r="F52" s="7"/>
      <c r="G52" s="14"/>
      <c r="H52" s="15" t="str">
        <f t="shared" si="2"/>
        <v/>
      </c>
      <c r="I52" s="16" t="str">
        <f t="shared" si="3"/>
        <v/>
      </c>
      <c r="J52" s="8"/>
    </row>
    <row r="53" spans="2:10" x14ac:dyDescent="0.25">
      <c r="B53" s="10"/>
      <c r="C53" s="17" t="str">
        <f>IF(B53="","",IFERROR(VLOOKUP(B53,'Cadastro de Produtos'!$B:$C,2,0),""))</f>
        <v/>
      </c>
      <c r="D53" s="12"/>
      <c r="E53" s="18"/>
      <c r="F53" s="10"/>
      <c r="G53" s="18"/>
      <c r="H53" s="19" t="str">
        <f t="shared" si="2"/>
        <v/>
      </c>
      <c r="I53" s="20" t="str">
        <f t="shared" si="3"/>
        <v/>
      </c>
      <c r="J53" s="11"/>
    </row>
    <row r="54" spans="2:10" x14ac:dyDescent="0.25">
      <c r="B54" s="7"/>
      <c r="C54" s="13" t="str">
        <f>IF(B54="","",IFERROR(VLOOKUP(B54,'Cadastro de Produtos'!$B:$C,2,0),""))</f>
        <v/>
      </c>
      <c r="D54" s="9"/>
      <c r="E54" s="14"/>
      <c r="F54" s="7"/>
      <c r="G54" s="14"/>
      <c r="H54" s="15" t="str">
        <f t="shared" si="2"/>
        <v/>
      </c>
      <c r="I54" s="16" t="str">
        <f t="shared" si="3"/>
        <v/>
      </c>
      <c r="J54" s="8"/>
    </row>
    <row r="55" spans="2:10" x14ac:dyDescent="0.25">
      <c r="B55" s="10"/>
      <c r="C55" s="17" t="str">
        <f>IF(B55="","",IFERROR(VLOOKUP(B55,'Cadastro de Produtos'!$B:$C,2,0),""))</f>
        <v/>
      </c>
      <c r="D55" s="12"/>
      <c r="E55" s="18"/>
      <c r="F55" s="10"/>
      <c r="G55" s="18"/>
      <c r="H55" s="19" t="str">
        <f t="shared" si="2"/>
        <v/>
      </c>
      <c r="I55" s="20" t="str">
        <f t="shared" si="3"/>
        <v/>
      </c>
      <c r="J55" s="11"/>
    </row>
    <row r="56" spans="2:10" x14ac:dyDescent="0.25">
      <c r="B56" s="7"/>
      <c r="C56" s="13" t="str">
        <f>IF(B56="","",IFERROR(VLOOKUP(B56,'Cadastro de Produtos'!$B:$C,2,0),""))</f>
        <v/>
      </c>
      <c r="D56" s="9"/>
      <c r="E56" s="14"/>
      <c r="F56" s="7"/>
      <c r="G56" s="14"/>
      <c r="H56" s="15" t="str">
        <f t="shared" si="2"/>
        <v/>
      </c>
      <c r="I56" s="16" t="str">
        <f t="shared" si="3"/>
        <v/>
      </c>
      <c r="J56" s="8"/>
    </row>
    <row r="57" spans="2:10" x14ac:dyDescent="0.25">
      <c r="B57" s="10"/>
      <c r="C57" s="17" t="str">
        <f>IF(B57="","",IFERROR(VLOOKUP(B57,'Cadastro de Produtos'!$B:$C,2,0),""))</f>
        <v/>
      </c>
      <c r="D57" s="12"/>
      <c r="E57" s="18"/>
      <c r="F57" s="10"/>
      <c r="G57" s="18"/>
      <c r="H57" s="19" t="str">
        <f t="shared" si="2"/>
        <v/>
      </c>
      <c r="I57" s="20" t="str">
        <f t="shared" si="3"/>
        <v/>
      </c>
      <c r="J57" s="11"/>
    </row>
    <row r="58" spans="2:10" x14ac:dyDescent="0.25">
      <c r="B58" s="7"/>
      <c r="C58" s="13" t="str">
        <f>IF(B58="","",IFERROR(VLOOKUP(B58,'Cadastro de Produtos'!$B:$C,2,0),""))</f>
        <v/>
      </c>
      <c r="D58" s="9"/>
      <c r="E58" s="14"/>
      <c r="F58" s="7"/>
      <c r="G58" s="14"/>
      <c r="H58" s="15" t="str">
        <f t="shared" si="2"/>
        <v/>
      </c>
      <c r="I58" s="16" t="str">
        <f t="shared" si="3"/>
        <v/>
      </c>
      <c r="J58" s="8"/>
    </row>
    <row r="59" spans="2:10" x14ac:dyDescent="0.25">
      <c r="B59" s="10"/>
      <c r="C59" s="17" t="str">
        <f>IF(B59="","",IFERROR(VLOOKUP(B59,'Cadastro de Produtos'!$B:$C,2,0),""))</f>
        <v/>
      </c>
      <c r="D59" s="12"/>
      <c r="E59" s="18"/>
      <c r="F59" s="10"/>
      <c r="G59" s="18"/>
      <c r="H59" s="19" t="str">
        <f t="shared" si="2"/>
        <v/>
      </c>
      <c r="I59" s="20" t="str">
        <f t="shared" si="3"/>
        <v/>
      </c>
      <c r="J59" s="11"/>
    </row>
    <row r="60" spans="2:10" x14ac:dyDescent="0.25">
      <c r="B60" s="7"/>
      <c r="C60" s="13" t="str">
        <f>IF(B60="","",IFERROR(VLOOKUP(B60,'Cadastro de Produtos'!$B:$C,2,0),""))</f>
        <v/>
      </c>
      <c r="D60" s="9"/>
      <c r="E60" s="14"/>
      <c r="F60" s="7"/>
      <c r="G60" s="14"/>
      <c r="H60" s="15" t="str">
        <f t="shared" si="2"/>
        <v/>
      </c>
      <c r="I60" s="16" t="str">
        <f t="shared" si="3"/>
        <v/>
      </c>
      <c r="J60" s="8"/>
    </row>
    <row r="61" spans="2:10" x14ac:dyDescent="0.25">
      <c r="B61" s="10"/>
      <c r="C61" s="17" t="str">
        <f>IF(B61="","",IFERROR(VLOOKUP(B61,'Cadastro de Produtos'!$B:$C,2,0),""))</f>
        <v/>
      </c>
      <c r="D61" s="12"/>
      <c r="E61" s="18"/>
      <c r="F61" s="10"/>
      <c r="G61" s="18"/>
      <c r="H61" s="19" t="str">
        <f t="shared" si="2"/>
        <v/>
      </c>
      <c r="I61" s="20" t="str">
        <f t="shared" si="3"/>
        <v/>
      </c>
      <c r="J61" s="11"/>
    </row>
    <row r="62" spans="2:10" x14ac:dyDescent="0.25">
      <c r="B62" s="7"/>
      <c r="C62" s="13" t="str">
        <f>IF(B62="","",IFERROR(VLOOKUP(B62,'Cadastro de Produtos'!$B:$C,2,0),""))</f>
        <v/>
      </c>
      <c r="D62" s="9"/>
      <c r="E62" s="14"/>
      <c r="F62" s="7"/>
      <c r="G62" s="14"/>
      <c r="H62" s="15" t="str">
        <f t="shared" si="2"/>
        <v/>
      </c>
      <c r="I62" s="16" t="str">
        <f t="shared" si="3"/>
        <v/>
      </c>
      <c r="J62" s="8"/>
    </row>
    <row r="63" spans="2:10" x14ac:dyDescent="0.25">
      <c r="B63" s="10"/>
      <c r="C63" s="17" t="str">
        <f>IF(B63="","",IFERROR(VLOOKUP(B63,'Cadastro de Produtos'!$B:$C,2,0),""))</f>
        <v/>
      </c>
      <c r="D63" s="12"/>
      <c r="E63" s="18"/>
      <c r="F63" s="10"/>
      <c r="G63" s="18"/>
      <c r="H63" s="19" t="str">
        <f t="shared" si="2"/>
        <v/>
      </c>
      <c r="I63" s="20" t="str">
        <f t="shared" si="3"/>
        <v/>
      </c>
      <c r="J63" s="11"/>
    </row>
    <row r="64" spans="2:10" x14ac:dyDescent="0.25">
      <c r="B64" s="7"/>
      <c r="C64" s="13" t="str">
        <f>IF(B64="","",IFERROR(VLOOKUP(B64,'Cadastro de Produtos'!$B:$C,2,0),""))</f>
        <v/>
      </c>
      <c r="D64" s="9"/>
      <c r="E64" s="14"/>
      <c r="F64" s="7"/>
      <c r="G64" s="14"/>
      <c r="H64" s="15" t="str">
        <f t="shared" si="2"/>
        <v/>
      </c>
      <c r="I64" s="16" t="str">
        <f t="shared" si="3"/>
        <v/>
      </c>
      <c r="J64" s="8"/>
    </row>
    <row r="65" spans="2:10" x14ac:dyDescent="0.25">
      <c r="B65" s="10"/>
      <c r="C65" s="17" t="str">
        <f>IF(B65="","",IFERROR(VLOOKUP(B65,'Cadastro de Produtos'!$B:$C,2,0),""))</f>
        <v/>
      </c>
      <c r="D65" s="12"/>
      <c r="E65" s="18"/>
      <c r="F65" s="10"/>
      <c r="G65" s="18"/>
      <c r="H65" s="19" t="str">
        <f t="shared" si="2"/>
        <v/>
      </c>
      <c r="I65" s="20" t="str">
        <f t="shared" si="3"/>
        <v/>
      </c>
      <c r="J65" s="11"/>
    </row>
  </sheetData>
  <sheetProtection sheet="1" autoFilter="0"/>
  <mergeCells count="2">
    <mergeCell ref="B2:J2"/>
    <mergeCell ref="B3:J3"/>
  </mergeCells>
  <conditionalFormatting sqref="B6:J65">
    <cfRule type="expression" dxfId="23" priority="2">
      <formula>$J6="✅ Sim"</formula>
    </cfRule>
    <cfRule type="expression" dxfId="22" priority="3">
      <formula>AND($H6&lt;&gt;"",$H6&gt;0)</formula>
    </cfRule>
    <cfRule type="expression" dxfId="21" priority="4">
      <formula>AND($H6&lt;&gt;"",$H6&lt;0)</formula>
    </cfRule>
  </conditionalFormatting>
  <dataValidations count="1">
    <dataValidation type="list" allowBlank="1" showErrorMessage="1" errorTitle="Opção inválida" error="Escolha uma opção da lista suspensa." sqref="J6:J65" xr:uid="{00000000-0002-0000-0700-000002000000}">
      <formula1>"❌ Não,✅ Sim"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Produto inválido" error="Escolha um produto da lista suspensa. Se não aparece, cadastre-o primeiro na aba Cadastro de Produtos." xr:uid="{00000000-0002-0000-0700-000000000000}">
          <x14:formula1>
            <xm:f>'Cadastro de Produtos'!$B$6:$B$65</xm:f>
          </x14:formula1>
          <x14:formula2>
            <xm:f>0</xm:f>
          </x14:formula2>
          <xm:sqref>B6:B65</xm:sqref>
        </x14:dataValidation>
        <x14:dataValidation type="list" allowBlank="1" showErrorMessage="1" errorTitle="Mercado inválido" error="Escolha um mercado da lista suspensa. Se não aparece, cadastre-o primeiro na aba Cadastro de Produtos." xr:uid="{00000000-0002-0000-0700-000001000000}">
          <x14:formula1>
            <xm:f>'Cadastro de Produtos'!$F$6:$F$25</xm:f>
          </x14:formula1>
          <x14:formula2>
            <xm:f>0</xm:f>
          </x14:formula2>
          <xm:sqref>F6:F65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J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7109375" defaultRowHeight="15" x14ac:dyDescent="0.25"/>
  <cols>
    <col min="1" max="1" width="3" customWidth="1"/>
    <col min="2" max="2" width="22" customWidth="1"/>
    <col min="3" max="3" width="14" customWidth="1"/>
    <col min="4" max="4" width="11" customWidth="1"/>
    <col min="5" max="5" width="13" customWidth="1"/>
    <col min="6" max="6" width="16" customWidth="1"/>
    <col min="7" max="7" width="15" customWidth="1"/>
    <col min="8" max="8" width="13" customWidth="1"/>
    <col min="9" max="9" width="14" customWidth="1"/>
    <col min="10" max="10" width="12" customWidth="1"/>
  </cols>
  <sheetData>
    <row r="2" spans="2:10" ht="27.75" customHeight="1" x14ac:dyDescent="0.25">
      <c r="B2" s="58" t="s">
        <v>69</v>
      </c>
      <c r="C2" s="58"/>
      <c r="D2" s="58"/>
      <c r="E2" s="58"/>
      <c r="F2" s="58"/>
      <c r="G2" s="58"/>
      <c r="H2" s="58"/>
      <c r="I2" s="58"/>
      <c r="J2" s="58"/>
    </row>
    <row r="3" spans="2:10" ht="19.5" customHeight="1" x14ac:dyDescent="0.25">
      <c r="B3" s="57" t="s">
        <v>55</v>
      </c>
      <c r="C3" s="57"/>
      <c r="D3" s="57"/>
      <c r="E3" s="57"/>
      <c r="F3" s="57"/>
      <c r="G3" s="57"/>
      <c r="H3" s="57"/>
      <c r="I3" s="57"/>
      <c r="J3" s="57"/>
    </row>
    <row r="5" spans="2:10" ht="24" x14ac:dyDescent="0.25">
      <c r="B5" s="6" t="s">
        <v>38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61</v>
      </c>
      <c r="I5" s="6" t="s">
        <v>62</v>
      </c>
      <c r="J5" s="6" t="s">
        <v>63</v>
      </c>
    </row>
    <row r="6" spans="2:10" x14ac:dyDescent="0.25">
      <c r="B6" s="7"/>
      <c r="C6" s="13" t="str">
        <f>IF(B6="","",IFERROR(VLOOKUP(B6,'Cadastro de Produtos'!$B:$C,2,0),""))</f>
        <v/>
      </c>
      <c r="D6" s="9"/>
      <c r="E6" s="14"/>
      <c r="F6" s="7"/>
      <c r="G6" s="14"/>
      <c r="H6" s="15" t="str">
        <f t="shared" ref="H6:H37" si="0">IF(B6="","",IF(OR(E6="",G6="",G6=0),"",(E6-G6)/G6))</f>
        <v/>
      </c>
      <c r="I6" s="16" t="str">
        <f t="shared" ref="I6:I37" si="1">IF(B6="","",IF(D6="","",D6*E6))</f>
        <v/>
      </c>
      <c r="J6" s="8"/>
    </row>
    <row r="7" spans="2:10" x14ac:dyDescent="0.25">
      <c r="B7" s="10"/>
      <c r="C7" s="17" t="str">
        <f>IF(B7="","",IFERROR(VLOOKUP(B7,'Cadastro de Produtos'!$B:$C,2,0),""))</f>
        <v/>
      </c>
      <c r="D7" s="12"/>
      <c r="E7" s="18"/>
      <c r="F7" s="10"/>
      <c r="G7" s="18"/>
      <c r="H7" s="19" t="str">
        <f t="shared" si="0"/>
        <v/>
      </c>
      <c r="I7" s="20" t="str">
        <f t="shared" si="1"/>
        <v/>
      </c>
      <c r="J7" s="11"/>
    </row>
    <row r="8" spans="2:10" x14ac:dyDescent="0.25">
      <c r="B8" s="7"/>
      <c r="C8" s="13" t="str">
        <f>IF(B8="","",IFERROR(VLOOKUP(B8,'Cadastro de Produtos'!$B:$C,2,0),""))</f>
        <v/>
      </c>
      <c r="D8" s="9"/>
      <c r="E8" s="14"/>
      <c r="F8" s="7"/>
      <c r="G8" s="14"/>
      <c r="H8" s="15" t="str">
        <f t="shared" si="0"/>
        <v/>
      </c>
      <c r="I8" s="16" t="str">
        <f t="shared" si="1"/>
        <v/>
      </c>
      <c r="J8" s="8"/>
    </row>
    <row r="9" spans="2:10" x14ac:dyDescent="0.25">
      <c r="B9" s="10"/>
      <c r="C9" s="17" t="str">
        <f>IF(B9="","",IFERROR(VLOOKUP(B9,'Cadastro de Produtos'!$B:$C,2,0),""))</f>
        <v/>
      </c>
      <c r="D9" s="12"/>
      <c r="E9" s="18"/>
      <c r="F9" s="10"/>
      <c r="G9" s="18"/>
      <c r="H9" s="19" t="str">
        <f t="shared" si="0"/>
        <v/>
      </c>
      <c r="I9" s="20" t="str">
        <f t="shared" si="1"/>
        <v/>
      </c>
      <c r="J9" s="11"/>
    </row>
    <row r="10" spans="2:10" x14ac:dyDescent="0.25">
      <c r="B10" s="7"/>
      <c r="C10" s="13" t="str">
        <f>IF(B10="","",IFERROR(VLOOKUP(B10,'Cadastro de Produtos'!$B:$C,2,0),""))</f>
        <v/>
      </c>
      <c r="D10" s="9"/>
      <c r="E10" s="14"/>
      <c r="F10" s="7"/>
      <c r="G10" s="14"/>
      <c r="H10" s="15" t="str">
        <f t="shared" si="0"/>
        <v/>
      </c>
      <c r="I10" s="16" t="str">
        <f t="shared" si="1"/>
        <v/>
      </c>
      <c r="J10" s="8"/>
    </row>
    <row r="11" spans="2:10" x14ac:dyDescent="0.25">
      <c r="B11" s="10"/>
      <c r="C11" s="17" t="str">
        <f>IF(B11="","",IFERROR(VLOOKUP(B11,'Cadastro de Produtos'!$B:$C,2,0),""))</f>
        <v/>
      </c>
      <c r="D11" s="12"/>
      <c r="E11" s="18"/>
      <c r="F11" s="10"/>
      <c r="G11" s="18"/>
      <c r="H11" s="19" t="str">
        <f t="shared" si="0"/>
        <v/>
      </c>
      <c r="I11" s="20" t="str">
        <f t="shared" si="1"/>
        <v/>
      </c>
      <c r="J11" s="11"/>
    </row>
    <row r="12" spans="2:10" x14ac:dyDescent="0.25">
      <c r="B12" s="7"/>
      <c r="C12" s="13" t="str">
        <f>IF(B12="","",IFERROR(VLOOKUP(B12,'Cadastro de Produtos'!$B:$C,2,0),""))</f>
        <v/>
      </c>
      <c r="D12" s="9"/>
      <c r="E12" s="14"/>
      <c r="F12" s="7"/>
      <c r="G12" s="14"/>
      <c r="H12" s="15" t="str">
        <f t="shared" si="0"/>
        <v/>
      </c>
      <c r="I12" s="16" t="str">
        <f t="shared" si="1"/>
        <v/>
      </c>
      <c r="J12" s="8"/>
    </row>
    <row r="13" spans="2:10" x14ac:dyDescent="0.25">
      <c r="B13" s="10"/>
      <c r="C13" s="17" t="str">
        <f>IF(B13="","",IFERROR(VLOOKUP(B13,'Cadastro de Produtos'!$B:$C,2,0),""))</f>
        <v/>
      </c>
      <c r="D13" s="12"/>
      <c r="E13" s="18"/>
      <c r="F13" s="10"/>
      <c r="G13" s="18"/>
      <c r="H13" s="19" t="str">
        <f t="shared" si="0"/>
        <v/>
      </c>
      <c r="I13" s="20" t="str">
        <f t="shared" si="1"/>
        <v/>
      </c>
      <c r="J13" s="11"/>
    </row>
    <row r="14" spans="2:10" x14ac:dyDescent="0.25">
      <c r="B14" s="7"/>
      <c r="C14" s="13" t="str">
        <f>IF(B14="","",IFERROR(VLOOKUP(B14,'Cadastro de Produtos'!$B:$C,2,0),""))</f>
        <v/>
      </c>
      <c r="D14" s="9"/>
      <c r="E14" s="14"/>
      <c r="F14" s="7"/>
      <c r="G14" s="14"/>
      <c r="H14" s="15" t="str">
        <f t="shared" si="0"/>
        <v/>
      </c>
      <c r="I14" s="16" t="str">
        <f t="shared" si="1"/>
        <v/>
      </c>
      <c r="J14" s="8"/>
    </row>
    <row r="15" spans="2:10" x14ac:dyDescent="0.25">
      <c r="B15" s="10"/>
      <c r="C15" s="17" t="str">
        <f>IF(B15="","",IFERROR(VLOOKUP(B15,'Cadastro de Produtos'!$B:$C,2,0),""))</f>
        <v/>
      </c>
      <c r="D15" s="12"/>
      <c r="E15" s="18"/>
      <c r="F15" s="10"/>
      <c r="G15" s="18"/>
      <c r="H15" s="19" t="str">
        <f t="shared" si="0"/>
        <v/>
      </c>
      <c r="I15" s="20" t="str">
        <f t="shared" si="1"/>
        <v/>
      </c>
      <c r="J15" s="11"/>
    </row>
    <row r="16" spans="2:10" x14ac:dyDescent="0.25">
      <c r="B16" s="7"/>
      <c r="C16" s="13" t="str">
        <f>IF(B16="","",IFERROR(VLOOKUP(B16,'Cadastro de Produtos'!$B:$C,2,0),""))</f>
        <v/>
      </c>
      <c r="D16" s="9"/>
      <c r="E16" s="14"/>
      <c r="F16" s="7"/>
      <c r="G16" s="14"/>
      <c r="H16" s="15" t="str">
        <f t="shared" si="0"/>
        <v/>
      </c>
      <c r="I16" s="16" t="str">
        <f t="shared" si="1"/>
        <v/>
      </c>
      <c r="J16" s="8"/>
    </row>
    <row r="17" spans="2:10" x14ac:dyDescent="0.25">
      <c r="B17" s="10"/>
      <c r="C17" s="17" t="str">
        <f>IF(B17="","",IFERROR(VLOOKUP(B17,'Cadastro de Produtos'!$B:$C,2,0),""))</f>
        <v/>
      </c>
      <c r="D17" s="12"/>
      <c r="E17" s="18"/>
      <c r="F17" s="10"/>
      <c r="G17" s="18"/>
      <c r="H17" s="19" t="str">
        <f t="shared" si="0"/>
        <v/>
      </c>
      <c r="I17" s="20" t="str">
        <f t="shared" si="1"/>
        <v/>
      </c>
      <c r="J17" s="11"/>
    </row>
    <row r="18" spans="2:10" x14ac:dyDescent="0.25">
      <c r="B18" s="7"/>
      <c r="C18" s="13" t="str">
        <f>IF(B18="","",IFERROR(VLOOKUP(B18,'Cadastro de Produtos'!$B:$C,2,0),""))</f>
        <v/>
      </c>
      <c r="D18" s="9"/>
      <c r="E18" s="14"/>
      <c r="F18" s="7"/>
      <c r="G18" s="14"/>
      <c r="H18" s="15" t="str">
        <f t="shared" si="0"/>
        <v/>
      </c>
      <c r="I18" s="16" t="str">
        <f t="shared" si="1"/>
        <v/>
      </c>
      <c r="J18" s="8"/>
    </row>
    <row r="19" spans="2:10" x14ac:dyDescent="0.25">
      <c r="B19" s="10"/>
      <c r="C19" s="17" t="str">
        <f>IF(B19="","",IFERROR(VLOOKUP(B19,'Cadastro de Produtos'!$B:$C,2,0),""))</f>
        <v/>
      </c>
      <c r="D19" s="12"/>
      <c r="E19" s="18"/>
      <c r="F19" s="10"/>
      <c r="G19" s="18"/>
      <c r="H19" s="19" t="str">
        <f t="shared" si="0"/>
        <v/>
      </c>
      <c r="I19" s="20" t="str">
        <f t="shared" si="1"/>
        <v/>
      </c>
      <c r="J19" s="11"/>
    </row>
    <row r="20" spans="2:10" x14ac:dyDescent="0.25">
      <c r="B20" s="7"/>
      <c r="C20" s="13" t="str">
        <f>IF(B20="","",IFERROR(VLOOKUP(B20,'Cadastro de Produtos'!$B:$C,2,0),""))</f>
        <v/>
      </c>
      <c r="D20" s="9"/>
      <c r="E20" s="14"/>
      <c r="F20" s="7"/>
      <c r="G20" s="14"/>
      <c r="H20" s="15" t="str">
        <f t="shared" si="0"/>
        <v/>
      </c>
      <c r="I20" s="16" t="str">
        <f t="shared" si="1"/>
        <v/>
      </c>
      <c r="J20" s="8"/>
    </row>
    <row r="21" spans="2:10" x14ac:dyDescent="0.25">
      <c r="B21" s="10"/>
      <c r="C21" s="17" t="str">
        <f>IF(B21="","",IFERROR(VLOOKUP(B21,'Cadastro de Produtos'!$B:$C,2,0),""))</f>
        <v/>
      </c>
      <c r="D21" s="12"/>
      <c r="E21" s="18"/>
      <c r="F21" s="10"/>
      <c r="G21" s="18"/>
      <c r="H21" s="19" t="str">
        <f t="shared" si="0"/>
        <v/>
      </c>
      <c r="I21" s="20" t="str">
        <f t="shared" si="1"/>
        <v/>
      </c>
      <c r="J21" s="11"/>
    </row>
    <row r="22" spans="2:10" x14ac:dyDescent="0.25">
      <c r="B22" s="7"/>
      <c r="C22" s="13" t="str">
        <f>IF(B22="","",IFERROR(VLOOKUP(B22,'Cadastro de Produtos'!$B:$C,2,0),""))</f>
        <v/>
      </c>
      <c r="D22" s="9"/>
      <c r="E22" s="14"/>
      <c r="F22" s="7"/>
      <c r="G22" s="14"/>
      <c r="H22" s="15" t="str">
        <f t="shared" si="0"/>
        <v/>
      </c>
      <c r="I22" s="16" t="str">
        <f t="shared" si="1"/>
        <v/>
      </c>
      <c r="J22" s="8"/>
    </row>
    <row r="23" spans="2:10" x14ac:dyDescent="0.25">
      <c r="B23" s="10"/>
      <c r="C23" s="17" t="str">
        <f>IF(B23="","",IFERROR(VLOOKUP(B23,'Cadastro de Produtos'!$B:$C,2,0),""))</f>
        <v/>
      </c>
      <c r="D23" s="12"/>
      <c r="E23" s="18"/>
      <c r="F23" s="10"/>
      <c r="G23" s="18"/>
      <c r="H23" s="19" t="str">
        <f t="shared" si="0"/>
        <v/>
      </c>
      <c r="I23" s="20" t="str">
        <f t="shared" si="1"/>
        <v/>
      </c>
      <c r="J23" s="11"/>
    </row>
    <row r="24" spans="2:10" x14ac:dyDescent="0.25">
      <c r="B24" s="7"/>
      <c r="C24" s="13" t="str">
        <f>IF(B24="","",IFERROR(VLOOKUP(B24,'Cadastro de Produtos'!$B:$C,2,0),""))</f>
        <v/>
      </c>
      <c r="D24" s="9"/>
      <c r="E24" s="14"/>
      <c r="F24" s="7"/>
      <c r="G24" s="14"/>
      <c r="H24" s="15" t="str">
        <f t="shared" si="0"/>
        <v/>
      </c>
      <c r="I24" s="16" t="str">
        <f t="shared" si="1"/>
        <v/>
      </c>
      <c r="J24" s="8"/>
    </row>
    <row r="25" spans="2:10" x14ac:dyDescent="0.25">
      <c r="B25" s="10"/>
      <c r="C25" s="17" t="str">
        <f>IF(B25="","",IFERROR(VLOOKUP(B25,'Cadastro de Produtos'!$B:$C,2,0),""))</f>
        <v/>
      </c>
      <c r="D25" s="12"/>
      <c r="E25" s="18"/>
      <c r="F25" s="10"/>
      <c r="G25" s="18"/>
      <c r="H25" s="19" t="str">
        <f t="shared" si="0"/>
        <v/>
      </c>
      <c r="I25" s="20" t="str">
        <f t="shared" si="1"/>
        <v/>
      </c>
      <c r="J25" s="11"/>
    </row>
    <row r="26" spans="2:10" x14ac:dyDescent="0.25">
      <c r="B26" s="7"/>
      <c r="C26" s="13" t="str">
        <f>IF(B26="","",IFERROR(VLOOKUP(B26,'Cadastro de Produtos'!$B:$C,2,0),""))</f>
        <v/>
      </c>
      <c r="D26" s="9"/>
      <c r="E26" s="14"/>
      <c r="F26" s="7"/>
      <c r="G26" s="14"/>
      <c r="H26" s="15" t="str">
        <f t="shared" si="0"/>
        <v/>
      </c>
      <c r="I26" s="16" t="str">
        <f t="shared" si="1"/>
        <v/>
      </c>
      <c r="J26" s="8"/>
    </row>
    <row r="27" spans="2:10" x14ac:dyDescent="0.25">
      <c r="B27" s="10"/>
      <c r="C27" s="17" t="str">
        <f>IF(B27="","",IFERROR(VLOOKUP(B27,'Cadastro de Produtos'!$B:$C,2,0),""))</f>
        <v/>
      </c>
      <c r="D27" s="12"/>
      <c r="E27" s="18"/>
      <c r="F27" s="10"/>
      <c r="G27" s="18"/>
      <c r="H27" s="19" t="str">
        <f t="shared" si="0"/>
        <v/>
      </c>
      <c r="I27" s="20" t="str">
        <f t="shared" si="1"/>
        <v/>
      </c>
      <c r="J27" s="11"/>
    </row>
    <row r="28" spans="2:10" x14ac:dyDescent="0.25">
      <c r="B28" s="7"/>
      <c r="C28" s="13" t="str">
        <f>IF(B28="","",IFERROR(VLOOKUP(B28,'Cadastro de Produtos'!$B:$C,2,0),""))</f>
        <v/>
      </c>
      <c r="D28" s="9"/>
      <c r="E28" s="14"/>
      <c r="F28" s="7"/>
      <c r="G28" s="14"/>
      <c r="H28" s="15" t="str">
        <f t="shared" si="0"/>
        <v/>
      </c>
      <c r="I28" s="16" t="str">
        <f t="shared" si="1"/>
        <v/>
      </c>
      <c r="J28" s="8"/>
    </row>
    <row r="29" spans="2:10" x14ac:dyDescent="0.25">
      <c r="B29" s="10"/>
      <c r="C29" s="17" t="str">
        <f>IF(B29="","",IFERROR(VLOOKUP(B29,'Cadastro de Produtos'!$B:$C,2,0),""))</f>
        <v/>
      </c>
      <c r="D29" s="12"/>
      <c r="E29" s="18"/>
      <c r="F29" s="10"/>
      <c r="G29" s="18"/>
      <c r="H29" s="19" t="str">
        <f t="shared" si="0"/>
        <v/>
      </c>
      <c r="I29" s="20" t="str">
        <f t="shared" si="1"/>
        <v/>
      </c>
      <c r="J29" s="11"/>
    </row>
    <row r="30" spans="2:10" x14ac:dyDescent="0.25">
      <c r="B30" s="7"/>
      <c r="C30" s="13" t="str">
        <f>IF(B30="","",IFERROR(VLOOKUP(B30,'Cadastro de Produtos'!$B:$C,2,0),""))</f>
        <v/>
      </c>
      <c r="D30" s="9"/>
      <c r="E30" s="14"/>
      <c r="F30" s="7"/>
      <c r="G30" s="14"/>
      <c r="H30" s="15" t="str">
        <f t="shared" si="0"/>
        <v/>
      </c>
      <c r="I30" s="16" t="str">
        <f t="shared" si="1"/>
        <v/>
      </c>
      <c r="J30" s="8"/>
    </row>
    <row r="31" spans="2:10" x14ac:dyDescent="0.25">
      <c r="B31" s="10"/>
      <c r="C31" s="17" t="str">
        <f>IF(B31="","",IFERROR(VLOOKUP(B31,'Cadastro de Produtos'!$B:$C,2,0),""))</f>
        <v/>
      </c>
      <c r="D31" s="12"/>
      <c r="E31" s="18"/>
      <c r="F31" s="10"/>
      <c r="G31" s="18"/>
      <c r="H31" s="19" t="str">
        <f t="shared" si="0"/>
        <v/>
      </c>
      <c r="I31" s="20" t="str">
        <f t="shared" si="1"/>
        <v/>
      </c>
      <c r="J31" s="11"/>
    </row>
    <row r="32" spans="2:10" x14ac:dyDescent="0.25">
      <c r="B32" s="7"/>
      <c r="C32" s="13" t="str">
        <f>IF(B32="","",IFERROR(VLOOKUP(B32,'Cadastro de Produtos'!$B:$C,2,0),""))</f>
        <v/>
      </c>
      <c r="D32" s="9"/>
      <c r="E32" s="14"/>
      <c r="F32" s="7"/>
      <c r="G32" s="14"/>
      <c r="H32" s="15" t="str">
        <f t="shared" si="0"/>
        <v/>
      </c>
      <c r="I32" s="16" t="str">
        <f t="shared" si="1"/>
        <v/>
      </c>
      <c r="J32" s="8"/>
    </row>
    <row r="33" spans="2:10" x14ac:dyDescent="0.25">
      <c r="B33" s="10"/>
      <c r="C33" s="17" t="str">
        <f>IF(B33="","",IFERROR(VLOOKUP(B33,'Cadastro de Produtos'!$B:$C,2,0),""))</f>
        <v/>
      </c>
      <c r="D33" s="12"/>
      <c r="E33" s="18"/>
      <c r="F33" s="10"/>
      <c r="G33" s="18"/>
      <c r="H33" s="19" t="str">
        <f t="shared" si="0"/>
        <v/>
      </c>
      <c r="I33" s="20" t="str">
        <f t="shared" si="1"/>
        <v/>
      </c>
      <c r="J33" s="11"/>
    </row>
    <row r="34" spans="2:10" x14ac:dyDescent="0.25">
      <c r="B34" s="7"/>
      <c r="C34" s="13" t="str">
        <f>IF(B34="","",IFERROR(VLOOKUP(B34,'Cadastro de Produtos'!$B:$C,2,0),""))</f>
        <v/>
      </c>
      <c r="D34" s="9"/>
      <c r="E34" s="14"/>
      <c r="F34" s="7"/>
      <c r="G34" s="14"/>
      <c r="H34" s="15" t="str">
        <f t="shared" si="0"/>
        <v/>
      </c>
      <c r="I34" s="16" t="str">
        <f t="shared" si="1"/>
        <v/>
      </c>
      <c r="J34" s="8"/>
    </row>
    <row r="35" spans="2:10" x14ac:dyDescent="0.25">
      <c r="B35" s="10"/>
      <c r="C35" s="17" t="str">
        <f>IF(B35="","",IFERROR(VLOOKUP(B35,'Cadastro de Produtos'!$B:$C,2,0),""))</f>
        <v/>
      </c>
      <c r="D35" s="12"/>
      <c r="E35" s="18"/>
      <c r="F35" s="10"/>
      <c r="G35" s="18"/>
      <c r="H35" s="19" t="str">
        <f t="shared" si="0"/>
        <v/>
      </c>
      <c r="I35" s="20" t="str">
        <f t="shared" si="1"/>
        <v/>
      </c>
      <c r="J35" s="11"/>
    </row>
    <row r="36" spans="2:10" x14ac:dyDescent="0.25">
      <c r="B36" s="7"/>
      <c r="C36" s="13" t="str">
        <f>IF(B36="","",IFERROR(VLOOKUP(B36,'Cadastro de Produtos'!$B:$C,2,0),""))</f>
        <v/>
      </c>
      <c r="D36" s="9"/>
      <c r="E36" s="14"/>
      <c r="F36" s="7"/>
      <c r="G36" s="14"/>
      <c r="H36" s="15" t="str">
        <f t="shared" si="0"/>
        <v/>
      </c>
      <c r="I36" s="16" t="str">
        <f t="shared" si="1"/>
        <v/>
      </c>
      <c r="J36" s="8"/>
    </row>
    <row r="37" spans="2:10" x14ac:dyDescent="0.25">
      <c r="B37" s="10"/>
      <c r="C37" s="17" t="str">
        <f>IF(B37="","",IFERROR(VLOOKUP(B37,'Cadastro de Produtos'!$B:$C,2,0),""))</f>
        <v/>
      </c>
      <c r="D37" s="12"/>
      <c r="E37" s="18"/>
      <c r="F37" s="10"/>
      <c r="G37" s="18"/>
      <c r="H37" s="19" t="str">
        <f t="shared" si="0"/>
        <v/>
      </c>
      <c r="I37" s="20" t="str">
        <f t="shared" si="1"/>
        <v/>
      </c>
      <c r="J37" s="11"/>
    </row>
    <row r="38" spans="2:10" x14ac:dyDescent="0.25">
      <c r="B38" s="7"/>
      <c r="C38" s="13" t="str">
        <f>IF(B38="","",IFERROR(VLOOKUP(B38,'Cadastro de Produtos'!$B:$C,2,0),""))</f>
        <v/>
      </c>
      <c r="D38" s="9"/>
      <c r="E38" s="14"/>
      <c r="F38" s="7"/>
      <c r="G38" s="14"/>
      <c r="H38" s="15" t="str">
        <f t="shared" ref="H38:H65" si="2">IF(B38="","",IF(OR(E38="",G38="",G38=0),"",(E38-G38)/G38))</f>
        <v/>
      </c>
      <c r="I38" s="16" t="str">
        <f t="shared" ref="I38:I65" si="3">IF(B38="","",IF(D38="","",D38*E38))</f>
        <v/>
      </c>
      <c r="J38" s="8"/>
    </row>
    <row r="39" spans="2:10" x14ac:dyDescent="0.25">
      <c r="B39" s="10"/>
      <c r="C39" s="17" t="str">
        <f>IF(B39="","",IFERROR(VLOOKUP(B39,'Cadastro de Produtos'!$B:$C,2,0),""))</f>
        <v/>
      </c>
      <c r="D39" s="12"/>
      <c r="E39" s="18"/>
      <c r="F39" s="10"/>
      <c r="G39" s="18"/>
      <c r="H39" s="19" t="str">
        <f t="shared" si="2"/>
        <v/>
      </c>
      <c r="I39" s="20" t="str">
        <f t="shared" si="3"/>
        <v/>
      </c>
      <c r="J39" s="11"/>
    </row>
    <row r="40" spans="2:10" x14ac:dyDescent="0.25">
      <c r="B40" s="7"/>
      <c r="C40" s="13" t="str">
        <f>IF(B40="","",IFERROR(VLOOKUP(B40,'Cadastro de Produtos'!$B:$C,2,0),""))</f>
        <v/>
      </c>
      <c r="D40" s="9"/>
      <c r="E40" s="14"/>
      <c r="F40" s="7"/>
      <c r="G40" s="14"/>
      <c r="H40" s="15" t="str">
        <f t="shared" si="2"/>
        <v/>
      </c>
      <c r="I40" s="16" t="str">
        <f t="shared" si="3"/>
        <v/>
      </c>
      <c r="J40" s="8"/>
    </row>
    <row r="41" spans="2:10" x14ac:dyDescent="0.25">
      <c r="B41" s="10"/>
      <c r="C41" s="17" t="str">
        <f>IF(B41="","",IFERROR(VLOOKUP(B41,'Cadastro de Produtos'!$B:$C,2,0),""))</f>
        <v/>
      </c>
      <c r="D41" s="12"/>
      <c r="E41" s="18"/>
      <c r="F41" s="10"/>
      <c r="G41" s="18"/>
      <c r="H41" s="19" t="str">
        <f t="shared" si="2"/>
        <v/>
      </c>
      <c r="I41" s="20" t="str">
        <f t="shared" si="3"/>
        <v/>
      </c>
      <c r="J41" s="11"/>
    </row>
    <row r="42" spans="2:10" x14ac:dyDescent="0.25">
      <c r="B42" s="7"/>
      <c r="C42" s="13" t="str">
        <f>IF(B42="","",IFERROR(VLOOKUP(B42,'Cadastro de Produtos'!$B:$C,2,0),""))</f>
        <v/>
      </c>
      <c r="D42" s="9"/>
      <c r="E42" s="14"/>
      <c r="F42" s="7"/>
      <c r="G42" s="14"/>
      <c r="H42" s="15" t="str">
        <f t="shared" si="2"/>
        <v/>
      </c>
      <c r="I42" s="16" t="str">
        <f t="shared" si="3"/>
        <v/>
      </c>
      <c r="J42" s="8"/>
    </row>
    <row r="43" spans="2:10" x14ac:dyDescent="0.25">
      <c r="B43" s="10"/>
      <c r="C43" s="17" t="str">
        <f>IF(B43="","",IFERROR(VLOOKUP(B43,'Cadastro de Produtos'!$B:$C,2,0),""))</f>
        <v/>
      </c>
      <c r="D43" s="12"/>
      <c r="E43" s="18"/>
      <c r="F43" s="10"/>
      <c r="G43" s="18"/>
      <c r="H43" s="19" t="str">
        <f t="shared" si="2"/>
        <v/>
      </c>
      <c r="I43" s="20" t="str">
        <f t="shared" si="3"/>
        <v/>
      </c>
      <c r="J43" s="11"/>
    </row>
    <row r="44" spans="2:10" x14ac:dyDescent="0.25">
      <c r="B44" s="7"/>
      <c r="C44" s="13" t="str">
        <f>IF(B44="","",IFERROR(VLOOKUP(B44,'Cadastro de Produtos'!$B:$C,2,0),""))</f>
        <v/>
      </c>
      <c r="D44" s="9"/>
      <c r="E44" s="14"/>
      <c r="F44" s="7"/>
      <c r="G44" s="14"/>
      <c r="H44" s="15" t="str">
        <f t="shared" si="2"/>
        <v/>
      </c>
      <c r="I44" s="16" t="str">
        <f t="shared" si="3"/>
        <v/>
      </c>
      <c r="J44" s="8"/>
    </row>
    <row r="45" spans="2:10" x14ac:dyDescent="0.25">
      <c r="B45" s="10"/>
      <c r="C45" s="17" t="str">
        <f>IF(B45="","",IFERROR(VLOOKUP(B45,'Cadastro de Produtos'!$B:$C,2,0),""))</f>
        <v/>
      </c>
      <c r="D45" s="12"/>
      <c r="E45" s="18"/>
      <c r="F45" s="10"/>
      <c r="G45" s="18"/>
      <c r="H45" s="19" t="str">
        <f t="shared" si="2"/>
        <v/>
      </c>
      <c r="I45" s="20" t="str">
        <f t="shared" si="3"/>
        <v/>
      </c>
      <c r="J45" s="11"/>
    </row>
    <row r="46" spans="2:10" x14ac:dyDescent="0.25">
      <c r="B46" s="7"/>
      <c r="C46" s="13" t="str">
        <f>IF(B46="","",IFERROR(VLOOKUP(B46,'Cadastro de Produtos'!$B:$C,2,0),""))</f>
        <v/>
      </c>
      <c r="D46" s="9"/>
      <c r="E46" s="14"/>
      <c r="F46" s="7"/>
      <c r="G46" s="14"/>
      <c r="H46" s="15" t="str">
        <f t="shared" si="2"/>
        <v/>
      </c>
      <c r="I46" s="16" t="str">
        <f t="shared" si="3"/>
        <v/>
      </c>
      <c r="J46" s="8"/>
    </row>
    <row r="47" spans="2:10" x14ac:dyDescent="0.25">
      <c r="B47" s="10"/>
      <c r="C47" s="17" t="str">
        <f>IF(B47="","",IFERROR(VLOOKUP(B47,'Cadastro de Produtos'!$B:$C,2,0),""))</f>
        <v/>
      </c>
      <c r="D47" s="12"/>
      <c r="E47" s="18"/>
      <c r="F47" s="10"/>
      <c r="G47" s="18"/>
      <c r="H47" s="19" t="str">
        <f t="shared" si="2"/>
        <v/>
      </c>
      <c r="I47" s="20" t="str">
        <f t="shared" si="3"/>
        <v/>
      </c>
      <c r="J47" s="11"/>
    </row>
    <row r="48" spans="2:10" x14ac:dyDescent="0.25">
      <c r="B48" s="7"/>
      <c r="C48" s="13" t="str">
        <f>IF(B48="","",IFERROR(VLOOKUP(B48,'Cadastro de Produtos'!$B:$C,2,0),""))</f>
        <v/>
      </c>
      <c r="D48" s="9"/>
      <c r="E48" s="14"/>
      <c r="F48" s="7"/>
      <c r="G48" s="14"/>
      <c r="H48" s="15" t="str">
        <f t="shared" si="2"/>
        <v/>
      </c>
      <c r="I48" s="16" t="str">
        <f t="shared" si="3"/>
        <v/>
      </c>
      <c r="J48" s="8"/>
    </row>
    <row r="49" spans="2:10" x14ac:dyDescent="0.25">
      <c r="B49" s="10"/>
      <c r="C49" s="17" t="str">
        <f>IF(B49="","",IFERROR(VLOOKUP(B49,'Cadastro de Produtos'!$B:$C,2,0),""))</f>
        <v/>
      </c>
      <c r="D49" s="12"/>
      <c r="E49" s="18"/>
      <c r="F49" s="10"/>
      <c r="G49" s="18"/>
      <c r="H49" s="19" t="str">
        <f t="shared" si="2"/>
        <v/>
      </c>
      <c r="I49" s="20" t="str">
        <f t="shared" si="3"/>
        <v/>
      </c>
      <c r="J49" s="11"/>
    </row>
    <row r="50" spans="2:10" x14ac:dyDescent="0.25">
      <c r="B50" s="7"/>
      <c r="C50" s="13" t="str">
        <f>IF(B50="","",IFERROR(VLOOKUP(B50,'Cadastro de Produtos'!$B:$C,2,0),""))</f>
        <v/>
      </c>
      <c r="D50" s="9"/>
      <c r="E50" s="14"/>
      <c r="F50" s="7"/>
      <c r="G50" s="14"/>
      <c r="H50" s="15" t="str">
        <f t="shared" si="2"/>
        <v/>
      </c>
      <c r="I50" s="16" t="str">
        <f t="shared" si="3"/>
        <v/>
      </c>
      <c r="J50" s="8"/>
    </row>
    <row r="51" spans="2:10" x14ac:dyDescent="0.25">
      <c r="B51" s="10"/>
      <c r="C51" s="17" t="str">
        <f>IF(B51="","",IFERROR(VLOOKUP(B51,'Cadastro de Produtos'!$B:$C,2,0),""))</f>
        <v/>
      </c>
      <c r="D51" s="12"/>
      <c r="E51" s="18"/>
      <c r="F51" s="10"/>
      <c r="G51" s="18"/>
      <c r="H51" s="19" t="str">
        <f t="shared" si="2"/>
        <v/>
      </c>
      <c r="I51" s="20" t="str">
        <f t="shared" si="3"/>
        <v/>
      </c>
      <c r="J51" s="11"/>
    </row>
    <row r="52" spans="2:10" x14ac:dyDescent="0.25">
      <c r="B52" s="7"/>
      <c r="C52" s="13" t="str">
        <f>IF(B52="","",IFERROR(VLOOKUP(B52,'Cadastro de Produtos'!$B:$C,2,0),""))</f>
        <v/>
      </c>
      <c r="D52" s="9"/>
      <c r="E52" s="14"/>
      <c r="F52" s="7"/>
      <c r="G52" s="14"/>
      <c r="H52" s="15" t="str">
        <f t="shared" si="2"/>
        <v/>
      </c>
      <c r="I52" s="16" t="str">
        <f t="shared" si="3"/>
        <v/>
      </c>
      <c r="J52" s="8"/>
    </row>
    <row r="53" spans="2:10" x14ac:dyDescent="0.25">
      <c r="B53" s="10"/>
      <c r="C53" s="17" t="str">
        <f>IF(B53="","",IFERROR(VLOOKUP(B53,'Cadastro de Produtos'!$B:$C,2,0),""))</f>
        <v/>
      </c>
      <c r="D53" s="12"/>
      <c r="E53" s="18"/>
      <c r="F53" s="10"/>
      <c r="G53" s="18"/>
      <c r="H53" s="19" t="str">
        <f t="shared" si="2"/>
        <v/>
      </c>
      <c r="I53" s="20" t="str">
        <f t="shared" si="3"/>
        <v/>
      </c>
      <c r="J53" s="11"/>
    </row>
    <row r="54" spans="2:10" x14ac:dyDescent="0.25">
      <c r="B54" s="7"/>
      <c r="C54" s="13" t="str">
        <f>IF(B54="","",IFERROR(VLOOKUP(B54,'Cadastro de Produtos'!$B:$C,2,0),""))</f>
        <v/>
      </c>
      <c r="D54" s="9"/>
      <c r="E54" s="14"/>
      <c r="F54" s="7"/>
      <c r="G54" s="14"/>
      <c r="H54" s="15" t="str">
        <f t="shared" si="2"/>
        <v/>
      </c>
      <c r="I54" s="16" t="str">
        <f t="shared" si="3"/>
        <v/>
      </c>
      <c r="J54" s="8"/>
    </row>
    <row r="55" spans="2:10" x14ac:dyDescent="0.25">
      <c r="B55" s="10"/>
      <c r="C55" s="17" t="str">
        <f>IF(B55="","",IFERROR(VLOOKUP(B55,'Cadastro de Produtos'!$B:$C,2,0),""))</f>
        <v/>
      </c>
      <c r="D55" s="12"/>
      <c r="E55" s="18"/>
      <c r="F55" s="10"/>
      <c r="G55" s="18"/>
      <c r="H55" s="19" t="str">
        <f t="shared" si="2"/>
        <v/>
      </c>
      <c r="I55" s="20" t="str">
        <f t="shared" si="3"/>
        <v/>
      </c>
      <c r="J55" s="11"/>
    </row>
    <row r="56" spans="2:10" x14ac:dyDescent="0.25">
      <c r="B56" s="7"/>
      <c r="C56" s="13" t="str">
        <f>IF(B56="","",IFERROR(VLOOKUP(B56,'Cadastro de Produtos'!$B:$C,2,0),""))</f>
        <v/>
      </c>
      <c r="D56" s="9"/>
      <c r="E56" s="14"/>
      <c r="F56" s="7"/>
      <c r="G56" s="14"/>
      <c r="H56" s="15" t="str">
        <f t="shared" si="2"/>
        <v/>
      </c>
      <c r="I56" s="16" t="str">
        <f t="shared" si="3"/>
        <v/>
      </c>
      <c r="J56" s="8"/>
    </row>
    <row r="57" spans="2:10" x14ac:dyDescent="0.25">
      <c r="B57" s="10"/>
      <c r="C57" s="17" t="str">
        <f>IF(B57="","",IFERROR(VLOOKUP(B57,'Cadastro de Produtos'!$B:$C,2,0),""))</f>
        <v/>
      </c>
      <c r="D57" s="12"/>
      <c r="E57" s="18"/>
      <c r="F57" s="10"/>
      <c r="G57" s="18"/>
      <c r="H57" s="19" t="str">
        <f t="shared" si="2"/>
        <v/>
      </c>
      <c r="I57" s="20" t="str">
        <f t="shared" si="3"/>
        <v/>
      </c>
      <c r="J57" s="11"/>
    </row>
    <row r="58" spans="2:10" x14ac:dyDescent="0.25">
      <c r="B58" s="7"/>
      <c r="C58" s="13" t="str">
        <f>IF(B58="","",IFERROR(VLOOKUP(B58,'Cadastro de Produtos'!$B:$C,2,0),""))</f>
        <v/>
      </c>
      <c r="D58" s="9"/>
      <c r="E58" s="14"/>
      <c r="F58" s="7"/>
      <c r="G58" s="14"/>
      <c r="H58" s="15" t="str">
        <f t="shared" si="2"/>
        <v/>
      </c>
      <c r="I58" s="16" t="str">
        <f t="shared" si="3"/>
        <v/>
      </c>
      <c r="J58" s="8"/>
    </row>
    <row r="59" spans="2:10" x14ac:dyDescent="0.25">
      <c r="B59" s="10"/>
      <c r="C59" s="17" t="str">
        <f>IF(B59="","",IFERROR(VLOOKUP(B59,'Cadastro de Produtos'!$B:$C,2,0),""))</f>
        <v/>
      </c>
      <c r="D59" s="12"/>
      <c r="E59" s="18"/>
      <c r="F59" s="10"/>
      <c r="G59" s="18"/>
      <c r="H59" s="19" t="str">
        <f t="shared" si="2"/>
        <v/>
      </c>
      <c r="I59" s="20" t="str">
        <f t="shared" si="3"/>
        <v/>
      </c>
      <c r="J59" s="11"/>
    </row>
    <row r="60" spans="2:10" x14ac:dyDescent="0.25">
      <c r="B60" s="7"/>
      <c r="C60" s="13" t="str">
        <f>IF(B60="","",IFERROR(VLOOKUP(B60,'Cadastro de Produtos'!$B:$C,2,0),""))</f>
        <v/>
      </c>
      <c r="D60" s="9"/>
      <c r="E60" s="14"/>
      <c r="F60" s="7"/>
      <c r="G60" s="14"/>
      <c r="H60" s="15" t="str">
        <f t="shared" si="2"/>
        <v/>
      </c>
      <c r="I60" s="16" t="str">
        <f t="shared" si="3"/>
        <v/>
      </c>
      <c r="J60" s="8"/>
    </row>
    <row r="61" spans="2:10" x14ac:dyDescent="0.25">
      <c r="B61" s="10"/>
      <c r="C61" s="17" t="str">
        <f>IF(B61="","",IFERROR(VLOOKUP(B61,'Cadastro de Produtos'!$B:$C,2,0),""))</f>
        <v/>
      </c>
      <c r="D61" s="12"/>
      <c r="E61" s="18"/>
      <c r="F61" s="10"/>
      <c r="G61" s="18"/>
      <c r="H61" s="19" t="str">
        <f t="shared" si="2"/>
        <v/>
      </c>
      <c r="I61" s="20" t="str">
        <f t="shared" si="3"/>
        <v/>
      </c>
      <c r="J61" s="11"/>
    </row>
    <row r="62" spans="2:10" x14ac:dyDescent="0.25">
      <c r="B62" s="7"/>
      <c r="C62" s="13" t="str">
        <f>IF(B62="","",IFERROR(VLOOKUP(B62,'Cadastro de Produtos'!$B:$C,2,0),""))</f>
        <v/>
      </c>
      <c r="D62" s="9"/>
      <c r="E62" s="14"/>
      <c r="F62" s="7"/>
      <c r="G62" s="14"/>
      <c r="H62" s="15" t="str">
        <f t="shared" si="2"/>
        <v/>
      </c>
      <c r="I62" s="16" t="str">
        <f t="shared" si="3"/>
        <v/>
      </c>
      <c r="J62" s="8"/>
    </row>
    <row r="63" spans="2:10" x14ac:dyDescent="0.25">
      <c r="B63" s="10"/>
      <c r="C63" s="17" t="str">
        <f>IF(B63="","",IFERROR(VLOOKUP(B63,'Cadastro de Produtos'!$B:$C,2,0),""))</f>
        <v/>
      </c>
      <c r="D63" s="12"/>
      <c r="E63" s="18"/>
      <c r="F63" s="10"/>
      <c r="G63" s="18"/>
      <c r="H63" s="19" t="str">
        <f t="shared" si="2"/>
        <v/>
      </c>
      <c r="I63" s="20" t="str">
        <f t="shared" si="3"/>
        <v/>
      </c>
      <c r="J63" s="11"/>
    </row>
    <row r="64" spans="2:10" x14ac:dyDescent="0.25">
      <c r="B64" s="7"/>
      <c r="C64" s="13" t="str">
        <f>IF(B64="","",IFERROR(VLOOKUP(B64,'Cadastro de Produtos'!$B:$C,2,0),""))</f>
        <v/>
      </c>
      <c r="D64" s="9"/>
      <c r="E64" s="14"/>
      <c r="F64" s="7"/>
      <c r="G64" s="14"/>
      <c r="H64" s="15" t="str">
        <f t="shared" si="2"/>
        <v/>
      </c>
      <c r="I64" s="16" t="str">
        <f t="shared" si="3"/>
        <v/>
      </c>
      <c r="J64" s="8"/>
    </row>
    <row r="65" spans="2:10" x14ac:dyDescent="0.25">
      <c r="B65" s="10"/>
      <c r="C65" s="17" t="str">
        <f>IF(B65="","",IFERROR(VLOOKUP(B65,'Cadastro de Produtos'!$B:$C,2,0),""))</f>
        <v/>
      </c>
      <c r="D65" s="12"/>
      <c r="E65" s="18"/>
      <c r="F65" s="10"/>
      <c r="G65" s="18"/>
      <c r="H65" s="19" t="str">
        <f t="shared" si="2"/>
        <v/>
      </c>
      <c r="I65" s="20" t="str">
        <f t="shared" si="3"/>
        <v/>
      </c>
      <c r="J65" s="11"/>
    </row>
  </sheetData>
  <sheetProtection sheet="1" autoFilter="0"/>
  <mergeCells count="2">
    <mergeCell ref="B2:J2"/>
    <mergeCell ref="B3:J3"/>
  </mergeCells>
  <conditionalFormatting sqref="B6:J65">
    <cfRule type="expression" dxfId="20" priority="2">
      <formula>$J6="✅ Sim"</formula>
    </cfRule>
    <cfRule type="expression" dxfId="19" priority="3">
      <formula>AND($H6&lt;&gt;"",$H6&gt;0)</formula>
    </cfRule>
    <cfRule type="expression" dxfId="18" priority="4">
      <formula>AND($H6&lt;&gt;"",$H6&lt;0)</formula>
    </cfRule>
  </conditionalFormatting>
  <dataValidations count="1">
    <dataValidation type="list" allowBlank="1" showErrorMessage="1" errorTitle="Opção inválida" error="Escolha uma opção da lista suspensa." sqref="J6:J65" xr:uid="{00000000-0002-0000-0800-000002000000}">
      <formula1>"❌ Não,✅ Sim"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Produto inválido" error="Escolha um produto da lista suspensa. Se não aparece, cadastre-o primeiro na aba Cadastro de Produtos." xr:uid="{00000000-0002-0000-0800-000000000000}">
          <x14:formula1>
            <xm:f>'Cadastro de Produtos'!$B$6:$B$65</xm:f>
          </x14:formula1>
          <x14:formula2>
            <xm:f>0</xm:f>
          </x14:formula2>
          <xm:sqref>B6:B65</xm:sqref>
        </x14:dataValidation>
        <x14:dataValidation type="list" allowBlank="1" showErrorMessage="1" errorTitle="Mercado inválido" error="Escolha um mercado da lista suspensa. Se não aparece, cadastre-o primeiro na aba Cadastro de Produtos." xr:uid="{00000000-0002-0000-0800-000001000000}">
          <x14:formula1>
            <xm:f>'Cadastro de Produtos'!$F$6:$F$25</xm:f>
          </x14:formula1>
          <x14:formula2>
            <xm:f>0</xm:f>
          </x14:formula2>
          <xm:sqref>F6:F65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J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8" sqref="E8"/>
    </sheetView>
  </sheetViews>
  <sheetFormatPr defaultColWidth="8.7109375" defaultRowHeight="15" x14ac:dyDescent="0.25"/>
  <cols>
    <col min="1" max="1" width="3" customWidth="1"/>
    <col min="2" max="2" width="22" customWidth="1"/>
    <col min="3" max="3" width="14" customWidth="1"/>
    <col min="4" max="4" width="11" customWidth="1"/>
    <col min="5" max="5" width="13" customWidth="1"/>
    <col min="6" max="6" width="16" customWidth="1"/>
    <col min="7" max="7" width="15" customWidth="1"/>
    <col min="8" max="8" width="13" customWidth="1"/>
    <col min="9" max="9" width="14" customWidth="1"/>
    <col min="10" max="10" width="12" customWidth="1"/>
  </cols>
  <sheetData>
    <row r="2" spans="2:10" ht="27.75" customHeight="1" x14ac:dyDescent="0.25">
      <c r="B2" s="58" t="s">
        <v>70</v>
      </c>
      <c r="C2" s="58"/>
      <c r="D2" s="58"/>
      <c r="E2" s="58"/>
      <c r="F2" s="58"/>
      <c r="G2" s="58"/>
      <c r="H2" s="58"/>
      <c r="I2" s="58"/>
      <c r="J2" s="58"/>
    </row>
    <row r="3" spans="2:10" ht="19.5" customHeight="1" x14ac:dyDescent="0.25">
      <c r="B3" s="57" t="s">
        <v>55</v>
      </c>
      <c r="C3" s="57"/>
      <c r="D3" s="57"/>
      <c r="E3" s="57"/>
      <c r="F3" s="57"/>
      <c r="G3" s="57"/>
      <c r="H3" s="57"/>
      <c r="I3" s="57"/>
      <c r="J3" s="57"/>
    </row>
    <row r="5" spans="2:10" ht="24" x14ac:dyDescent="0.25">
      <c r="B5" s="6" t="s">
        <v>38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61</v>
      </c>
      <c r="I5" s="6" t="s">
        <v>62</v>
      </c>
      <c r="J5" s="6" t="s">
        <v>63</v>
      </c>
    </row>
    <row r="6" spans="2:10" x14ac:dyDescent="0.25">
      <c r="B6" s="7" t="s">
        <v>45</v>
      </c>
      <c r="C6" s="13" t="str">
        <f>IF(B6="","",IFERROR(VLOOKUP(B6,'Cadastro de Produtos'!$B:$C,2,0),""))</f>
        <v>Laticínios</v>
      </c>
      <c r="D6" s="9">
        <v>3</v>
      </c>
      <c r="E6" s="14">
        <v>5</v>
      </c>
      <c r="F6" s="7" t="s">
        <v>44</v>
      </c>
      <c r="G6" s="14">
        <v>4.5</v>
      </c>
      <c r="H6" s="15">
        <f t="shared" ref="H6:H37" si="0">IF(B6="","",IF(OR(E6="",G6="",G6=0),"",(E6-G6)/G6))</f>
        <v>0.1111111111111111</v>
      </c>
      <c r="I6" s="16">
        <f t="shared" ref="I6:I37" si="1">IF(B6="","",IF(D6="","",D6*E6))</f>
        <v>15</v>
      </c>
      <c r="J6" s="8" t="s">
        <v>127</v>
      </c>
    </row>
    <row r="7" spans="2:10" x14ac:dyDescent="0.25">
      <c r="B7" s="10" t="s">
        <v>45</v>
      </c>
      <c r="C7" s="17" t="str">
        <f>IF(B7="","",IFERROR(VLOOKUP(B7,'Cadastro de Produtos'!$B:$C,2,0),""))</f>
        <v>Laticínios</v>
      </c>
      <c r="D7" s="12">
        <v>3</v>
      </c>
      <c r="E7" s="18">
        <v>4.3</v>
      </c>
      <c r="F7" s="10" t="s">
        <v>47</v>
      </c>
      <c r="G7" s="18">
        <v>4.5</v>
      </c>
      <c r="H7" s="19">
        <f t="shared" si="0"/>
        <v>-4.4444444444444481E-2</v>
      </c>
      <c r="I7" s="20">
        <f t="shared" si="1"/>
        <v>12.899999999999999</v>
      </c>
      <c r="J7" s="11" t="s">
        <v>127</v>
      </c>
    </row>
    <row r="8" spans="2:10" x14ac:dyDescent="0.25">
      <c r="B8" s="7"/>
      <c r="C8" s="13" t="str">
        <f>IF(B8="","",IFERROR(VLOOKUP(B8,'Cadastro de Produtos'!$B:$C,2,0),""))</f>
        <v/>
      </c>
      <c r="D8" s="9"/>
      <c r="E8" s="14"/>
      <c r="F8" s="7"/>
      <c r="G8" s="14"/>
      <c r="H8" s="15" t="str">
        <f t="shared" si="0"/>
        <v/>
      </c>
      <c r="I8" s="16" t="str">
        <f t="shared" si="1"/>
        <v/>
      </c>
      <c r="J8" s="8"/>
    </row>
    <row r="9" spans="2:10" x14ac:dyDescent="0.25">
      <c r="B9" s="10"/>
      <c r="C9" s="17" t="str">
        <f>IF(B9="","",IFERROR(VLOOKUP(B9,'Cadastro de Produtos'!$B:$C,2,0),""))</f>
        <v/>
      </c>
      <c r="D9" s="12"/>
      <c r="E9" s="18"/>
      <c r="F9" s="10"/>
      <c r="G9" s="18"/>
      <c r="H9" s="19" t="str">
        <f t="shared" si="0"/>
        <v/>
      </c>
      <c r="I9" s="20" t="str">
        <f t="shared" si="1"/>
        <v/>
      </c>
      <c r="J9" s="11"/>
    </row>
    <row r="10" spans="2:10" x14ac:dyDescent="0.25">
      <c r="B10" s="7"/>
      <c r="C10" s="13" t="str">
        <f>IF(B10="","",IFERROR(VLOOKUP(B10,'Cadastro de Produtos'!$B:$C,2,0),""))</f>
        <v/>
      </c>
      <c r="D10" s="9"/>
      <c r="E10" s="14"/>
      <c r="F10" s="7"/>
      <c r="G10" s="14"/>
      <c r="H10" s="15" t="str">
        <f t="shared" si="0"/>
        <v/>
      </c>
      <c r="I10" s="16" t="str">
        <f t="shared" si="1"/>
        <v/>
      </c>
      <c r="J10" s="8"/>
    </row>
    <row r="11" spans="2:10" x14ac:dyDescent="0.25">
      <c r="B11" s="10"/>
      <c r="C11" s="17" t="str">
        <f>IF(B11="","",IFERROR(VLOOKUP(B11,'Cadastro de Produtos'!$B:$C,2,0),""))</f>
        <v/>
      </c>
      <c r="D11" s="12"/>
      <c r="E11" s="18"/>
      <c r="F11" s="10"/>
      <c r="G11" s="18"/>
      <c r="H11" s="19" t="str">
        <f t="shared" si="0"/>
        <v/>
      </c>
      <c r="I11" s="20" t="str">
        <f t="shared" si="1"/>
        <v/>
      </c>
      <c r="J11" s="11"/>
    </row>
    <row r="12" spans="2:10" x14ac:dyDescent="0.25">
      <c r="B12" s="7"/>
      <c r="C12" s="13" t="str">
        <f>IF(B12="","",IFERROR(VLOOKUP(B12,'Cadastro de Produtos'!$B:$C,2,0),""))</f>
        <v/>
      </c>
      <c r="D12" s="9"/>
      <c r="E12" s="14"/>
      <c r="F12" s="7"/>
      <c r="G12" s="14"/>
      <c r="H12" s="15" t="str">
        <f t="shared" si="0"/>
        <v/>
      </c>
      <c r="I12" s="16" t="str">
        <f t="shared" si="1"/>
        <v/>
      </c>
      <c r="J12" s="8"/>
    </row>
    <row r="13" spans="2:10" x14ac:dyDescent="0.25">
      <c r="B13" s="10"/>
      <c r="C13" s="17" t="str">
        <f>IF(B13="","",IFERROR(VLOOKUP(B13,'Cadastro de Produtos'!$B:$C,2,0),""))</f>
        <v/>
      </c>
      <c r="D13" s="12"/>
      <c r="E13" s="18"/>
      <c r="F13" s="10"/>
      <c r="G13" s="18"/>
      <c r="H13" s="19" t="str">
        <f t="shared" si="0"/>
        <v/>
      </c>
      <c r="I13" s="20" t="str">
        <f t="shared" si="1"/>
        <v/>
      </c>
      <c r="J13" s="11"/>
    </row>
    <row r="14" spans="2:10" x14ac:dyDescent="0.25">
      <c r="B14" s="7"/>
      <c r="C14" s="13" t="str">
        <f>IF(B14="","",IFERROR(VLOOKUP(B14,'Cadastro de Produtos'!$B:$C,2,0),""))</f>
        <v/>
      </c>
      <c r="D14" s="9"/>
      <c r="E14" s="14"/>
      <c r="F14" s="7"/>
      <c r="G14" s="14"/>
      <c r="H14" s="15" t="str">
        <f t="shared" si="0"/>
        <v/>
      </c>
      <c r="I14" s="16" t="str">
        <f t="shared" si="1"/>
        <v/>
      </c>
      <c r="J14" s="8"/>
    </row>
    <row r="15" spans="2:10" x14ac:dyDescent="0.25">
      <c r="B15" s="10"/>
      <c r="C15" s="17" t="str">
        <f>IF(B15="","",IFERROR(VLOOKUP(B15,'Cadastro de Produtos'!$B:$C,2,0),""))</f>
        <v/>
      </c>
      <c r="D15" s="12"/>
      <c r="E15" s="18"/>
      <c r="F15" s="10"/>
      <c r="G15" s="18"/>
      <c r="H15" s="19" t="str">
        <f t="shared" si="0"/>
        <v/>
      </c>
      <c r="I15" s="20" t="str">
        <f t="shared" si="1"/>
        <v/>
      </c>
      <c r="J15" s="11"/>
    </row>
    <row r="16" spans="2:10" x14ac:dyDescent="0.25">
      <c r="B16" s="7"/>
      <c r="C16" s="13" t="str">
        <f>IF(B16="","",IFERROR(VLOOKUP(B16,'Cadastro de Produtos'!$B:$C,2,0),""))</f>
        <v/>
      </c>
      <c r="D16" s="9"/>
      <c r="E16" s="14"/>
      <c r="F16" s="7"/>
      <c r="G16" s="14"/>
      <c r="H16" s="15" t="str">
        <f t="shared" si="0"/>
        <v/>
      </c>
      <c r="I16" s="16" t="str">
        <f t="shared" si="1"/>
        <v/>
      </c>
      <c r="J16" s="8"/>
    </row>
    <row r="17" spans="2:10" x14ac:dyDescent="0.25">
      <c r="B17" s="10"/>
      <c r="C17" s="17" t="str">
        <f>IF(B17="","",IFERROR(VLOOKUP(B17,'Cadastro de Produtos'!$B:$C,2,0),""))</f>
        <v/>
      </c>
      <c r="D17" s="12"/>
      <c r="E17" s="18"/>
      <c r="F17" s="10"/>
      <c r="G17" s="18"/>
      <c r="H17" s="19" t="str">
        <f t="shared" si="0"/>
        <v/>
      </c>
      <c r="I17" s="20" t="str">
        <f t="shared" si="1"/>
        <v/>
      </c>
      <c r="J17" s="11"/>
    </row>
    <row r="18" spans="2:10" x14ac:dyDescent="0.25">
      <c r="B18" s="7"/>
      <c r="C18" s="13" t="str">
        <f>IF(B18="","",IFERROR(VLOOKUP(B18,'Cadastro de Produtos'!$B:$C,2,0),""))</f>
        <v/>
      </c>
      <c r="D18" s="9"/>
      <c r="E18" s="14"/>
      <c r="F18" s="7"/>
      <c r="G18" s="14"/>
      <c r="H18" s="15" t="str">
        <f t="shared" si="0"/>
        <v/>
      </c>
      <c r="I18" s="16" t="str">
        <f t="shared" si="1"/>
        <v/>
      </c>
      <c r="J18" s="8"/>
    </row>
    <row r="19" spans="2:10" x14ac:dyDescent="0.25">
      <c r="B19" s="10"/>
      <c r="C19" s="17" t="str">
        <f>IF(B19="","",IFERROR(VLOOKUP(B19,'Cadastro de Produtos'!$B:$C,2,0),""))</f>
        <v/>
      </c>
      <c r="D19" s="12"/>
      <c r="E19" s="18"/>
      <c r="F19" s="10"/>
      <c r="G19" s="18"/>
      <c r="H19" s="19" t="str">
        <f t="shared" si="0"/>
        <v/>
      </c>
      <c r="I19" s="20" t="str">
        <f t="shared" si="1"/>
        <v/>
      </c>
      <c r="J19" s="11"/>
    </row>
    <row r="20" spans="2:10" x14ac:dyDescent="0.25">
      <c r="B20" s="7"/>
      <c r="C20" s="13" t="str">
        <f>IF(B20="","",IFERROR(VLOOKUP(B20,'Cadastro de Produtos'!$B:$C,2,0),""))</f>
        <v/>
      </c>
      <c r="D20" s="9"/>
      <c r="E20" s="14"/>
      <c r="F20" s="7"/>
      <c r="G20" s="14"/>
      <c r="H20" s="15" t="str">
        <f t="shared" si="0"/>
        <v/>
      </c>
      <c r="I20" s="16" t="str">
        <f t="shared" si="1"/>
        <v/>
      </c>
      <c r="J20" s="8"/>
    </row>
    <row r="21" spans="2:10" x14ac:dyDescent="0.25">
      <c r="B21" s="10"/>
      <c r="C21" s="17" t="str">
        <f>IF(B21="","",IFERROR(VLOOKUP(B21,'Cadastro de Produtos'!$B:$C,2,0),""))</f>
        <v/>
      </c>
      <c r="D21" s="12"/>
      <c r="E21" s="18"/>
      <c r="F21" s="10"/>
      <c r="G21" s="18"/>
      <c r="H21" s="19" t="str">
        <f t="shared" si="0"/>
        <v/>
      </c>
      <c r="I21" s="20" t="str">
        <f t="shared" si="1"/>
        <v/>
      </c>
      <c r="J21" s="11"/>
    </row>
    <row r="22" spans="2:10" x14ac:dyDescent="0.25">
      <c r="B22" s="7"/>
      <c r="C22" s="13" t="str">
        <f>IF(B22="","",IFERROR(VLOOKUP(B22,'Cadastro de Produtos'!$B:$C,2,0),""))</f>
        <v/>
      </c>
      <c r="D22" s="9"/>
      <c r="E22" s="14"/>
      <c r="F22" s="7"/>
      <c r="G22" s="14"/>
      <c r="H22" s="15" t="str">
        <f t="shared" si="0"/>
        <v/>
      </c>
      <c r="I22" s="16" t="str">
        <f t="shared" si="1"/>
        <v/>
      </c>
      <c r="J22" s="8"/>
    </row>
    <row r="23" spans="2:10" x14ac:dyDescent="0.25">
      <c r="B23" s="10"/>
      <c r="C23" s="17" t="str">
        <f>IF(B23="","",IFERROR(VLOOKUP(B23,'Cadastro de Produtos'!$B:$C,2,0),""))</f>
        <v/>
      </c>
      <c r="D23" s="12"/>
      <c r="E23" s="18"/>
      <c r="F23" s="10"/>
      <c r="G23" s="18"/>
      <c r="H23" s="19" t="str">
        <f t="shared" si="0"/>
        <v/>
      </c>
      <c r="I23" s="20" t="str">
        <f t="shared" si="1"/>
        <v/>
      </c>
      <c r="J23" s="11"/>
    </row>
    <row r="24" spans="2:10" x14ac:dyDescent="0.25">
      <c r="B24" s="7"/>
      <c r="C24" s="13" t="str">
        <f>IF(B24="","",IFERROR(VLOOKUP(B24,'Cadastro de Produtos'!$B:$C,2,0),""))</f>
        <v/>
      </c>
      <c r="D24" s="9"/>
      <c r="E24" s="14"/>
      <c r="F24" s="7"/>
      <c r="G24" s="14"/>
      <c r="H24" s="15" t="str">
        <f t="shared" si="0"/>
        <v/>
      </c>
      <c r="I24" s="16" t="str">
        <f t="shared" si="1"/>
        <v/>
      </c>
      <c r="J24" s="8"/>
    </row>
    <row r="25" spans="2:10" x14ac:dyDescent="0.25">
      <c r="B25" s="10"/>
      <c r="C25" s="17" t="str">
        <f>IF(B25="","",IFERROR(VLOOKUP(B25,'Cadastro de Produtos'!$B:$C,2,0),""))</f>
        <v/>
      </c>
      <c r="D25" s="12"/>
      <c r="E25" s="18"/>
      <c r="F25" s="10"/>
      <c r="G25" s="18"/>
      <c r="H25" s="19" t="str">
        <f t="shared" si="0"/>
        <v/>
      </c>
      <c r="I25" s="20" t="str">
        <f t="shared" si="1"/>
        <v/>
      </c>
      <c r="J25" s="11"/>
    </row>
    <row r="26" spans="2:10" x14ac:dyDescent="0.25">
      <c r="B26" s="7"/>
      <c r="C26" s="13" t="str">
        <f>IF(B26="","",IFERROR(VLOOKUP(B26,'Cadastro de Produtos'!$B:$C,2,0),""))</f>
        <v/>
      </c>
      <c r="D26" s="9"/>
      <c r="E26" s="14"/>
      <c r="F26" s="7"/>
      <c r="G26" s="14"/>
      <c r="H26" s="15" t="str">
        <f t="shared" si="0"/>
        <v/>
      </c>
      <c r="I26" s="16" t="str">
        <f t="shared" si="1"/>
        <v/>
      </c>
      <c r="J26" s="8"/>
    </row>
    <row r="27" spans="2:10" x14ac:dyDescent="0.25">
      <c r="B27" s="10"/>
      <c r="C27" s="17" t="str">
        <f>IF(B27="","",IFERROR(VLOOKUP(B27,'Cadastro de Produtos'!$B:$C,2,0),""))</f>
        <v/>
      </c>
      <c r="D27" s="12"/>
      <c r="E27" s="18"/>
      <c r="F27" s="10"/>
      <c r="G27" s="18"/>
      <c r="H27" s="19" t="str">
        <f t="shared" si="0"/>
        <v/>
      </c>
      <c r="I27" s="20" t="str">
        <f t="shared" si="1"/>
        <v/>
      </c>
      <c r="J27" s="11"/>
    </row>
    <row r="28" spans="2:10" x14ac:dyDescent="0.25">
      <c r="B28" s="7"/>
      <c r="C28" s="13" t="str">
        <f>IF(B28="","",IFERROR(VLOOKUP(B28,'Cadastro de Produtos'!$B:$C,2,0),""))</f>
        <v/>
      </c>
      <c r="D28" s="9"/>
      <c r="E28" s="14"/>
      <c r="F28" s="7"/>
      <c r="G28" s="14"/>
      <c r="H28" s="15" t="str">
        <f t="shared" si="0"/>
        <v/>
      </c>
      <c r="I28" s="16" t="str">
        <f t="shared" si="1"/>
        <v/>
      </c>
      <c r="J28" s="8"/>
    </row>
    <row r="29" spans="2:10" x14ac:dyDescent="0.25">
      <c r="B29" s="10"/>
      <c r="C29" s="17" t="str">
        <f>IF(B29="","",IFERROR(VLOOKUP(B29,'Cadastro de Produtos'!$B:$C,2,0),""))</f>
        <v/>
      </c>
      <c r="D29" s="12"/>
      <c r="E29" s="18"/>
      <c r="F29" s="10"/>
      <c r="G29" s="18"/>
      <c r="H29" s="19" t="str">
        <f t="shared" si="0"/>
        <v/>
      </c>
      <c r="I29" s="20" t="str">
        <f t="shared" si="1"/>
        <v/>
      </c>
      <c r="J29" s="11"/>
    </row>
    <row r="30" spans="2:10" x14ac:dyDescent="0.25">
      <c r="B30" s="7"/>
      <c r="C30" s="13" t="str">
        <f>IF(B30="","",IFERROR(VLOOKUP(B30,'Cadastro de Produtos'!$B:$C,2,0),""))</f>
        <v/>
      </c>
      <c r="D30" s="9"/>
      <c r="E30" s="14"/>
      <c r="F30" s="7"/>
      <c r="G30" s="14"/>
      <c r="H30" s="15" t="str">
        <f t="shared" si="0"/>
        <v/>
      </c>
      <c r="I30" s="16" t="str">
        <f t="shared" si="1"/>
        <v/>
      </c>
      <c r="J30" s="8"/>
    </row>
    <row r="31" spans="2:10" x14ac:dyDescent="0.25">
      <c r="B31" s="10"/>
      <c r="C31" s="17" t="str">
        <f>IF(B31="","",IFERROR(VLOOKUP(B31,'Cadastro de Produtos'!$B:$C,2,0),""))</f>
        <v/>
      </c>
      <c r="D31" s="12"/>
      <c r="E31" s="18"/>
      <c r="F31" s="10"/>
      <c r="G31" s="18"/>
      <c r="H31" s="19" t="str">
        <f t="shared" si="0"/>
        <v/>
      </c>
      <c r="I31" s="20" t="str">
        <f t="shared" si="1"/>
        <v/>
      </c>
      <c r="J31" s="11"/>
    </row>
    <row r="32" spans="2:10" x14ac:dyDescent="0.25">
      <c r="B32" s="7"/>
      <c r="C32" s="13" t="str">
        <f>IF(B32="","",IFERROR(VLOOKUP(B32,'Cadastro de Produtos'!$B:$C,2,0),""))</f>
        <v/>
      </c>
      <c r="D32" s="9"/>
      <c r="E32" s="14"/>
      <c r="F32" s="7"/>
      <c r="G32" s="14"/>
      <c r="H32" s="15" t="str">
        <f t="shared" si="0"/>
        <v/>
      </c>
      <c r="I32" s="16" t="str">
        <f t="shared" si="1"/>
        <v/>
      </c>
      <c r="J32" s="8"/>
    </row>
    <row r="33" spans="2:10" x14ac:dyDescent="0.25">
      <c r="B33" s="10"/>
      <c r="C33" s="17" t="str">
        <f>IF(B33="","",IFERROR(VLOOKUP(B33,'Cadastro de Produtos'!$B:$C,2,0),""))</f>
        <v/>
      </c>
      <c r="D33" s="12"/>
      <c r="E33" s="18"/>
      <c r="F33" s="10"/>
      <c r="G33" s="18"/>
      <c r="H33" s="19" t="str">
        <f t="shared" si="0"/>
        <v/>
      </c>
      <c r="I33" s="20" t="str">
        <f t="shared" si="1"/>
        <v/>
      </c>
      <c r="J33" s="11"/>
    </row>
    <row r="34" spans="2:10" x14ac:dyDescent="0.25">
      <c r="B34" s="7"/>
      <c r="C34" s="13" t="str">
        <f>IF(B34="","",IFERROR(VLOOKUP(B34,'Cadastro de Produtos'!$B:$C,2,0),""))</f>
        <v/>
      </c>
      <c r="D34" s="9"/>
      <c r="E34" s="14"/>
      <c r="F34" s="7"/>
      <c r="G34" s="14"/>
      <c r="H34" s="15" t="str">
        <f t="shared" si="0"/>
        <v/>
      </c>
      <c r="I34" s="16" t="str">
        <f t="shared" si="1"/>
        <v/>
      </c>
      <c r="J34" s="8"/>
    </row>
    <row r="35" spans="2:10" x14ac:dyDescent="0.25">
      <c r="B35" s="10"/>
      <c r="C35" s="17" t="str">
        <f>IF(B35="","",IFERROR(VLOOKUP(B35,'Cadastro de Produtos'!$B:$C,2,0),""))</f>
        <v/>
      </c>
      <c r="D35" s="12"/>
      <c r="E35" s="18"/>
      <c r="F35" s="10"/>
      <c r="G35" s="18"/>
      <c r="H35" s="19" t="str">
        <f t="shared" si="0"/>
        <v/>
      </c>
      <c r="I35" s="20" t="str">
        <f t="shared" si="1"/>
        <v/>
      </c>
      <c r="J35" s="11"/>
    </row>
    <row r="36" spans="2:10" x14ac:dyDescent="0.25">
      <c r="B36" s="7"/>
      <c r="C36" s="13" t="str">
        <f>IF(B36="","",IFERROR(VLOOKUP(B36,'Cadastro de Produtos'!$B:$C,2,0),""))</f>
        <v/>
      </c>
      <c r="D36" s="9"/>
      <c r="E36" s="14"/>
      <c r="F36" s="7"/>
      <c r="G36" s="14"/>
      <c r="H36" s="15" t="str">
        <f t="shared" si="0"/>
        <v/>
      </c>
      <c r="I36" s="16" t="str">
        <f t="shared" si="1"/>
        <v/>
      </c>
      <c r="J36" s="8"/>
    </row>
    <row r="37" spans="2:10" x14ac:dyDescent="0.25">
      <c r="B37" s="10"/>
      <c r="C37" s="17" t="str">
        <f>IF(B37="","",IFERROR(VLOOKUP(B37,'Cadastro de Produtos'!$B:$C,2,0),""))</f>
        <v/>
      </c>
      <c r="D37" s="12"/>
      <c r="E37" s="18"/>
      <c r="F37" s="10"/>
      <c r="G37" s="18"/>
      <c r="H37" s="19" t="str">
        <f t="shared" si="0"/>
        <v/>
      </c>
      <c r="I37" s="20" t="str">
        <f t="shared" si="1"/>
        <v/>
      </c>
      <c r="J37" s="11"/>
    </row>
    <row r="38" spans="2:10" x14ac:dyDescent="0.25">
      <c r="B38" s="7"/>
      <c r="C38" s="13" t="str">
        <f>IF(B38="","",IFERROR(VLOOKUP(B38,'Cadastro de Produtos'!$B:$C,2,0),""))</f>
        <v/>
      </c>
      <c r="D38" s="9"/>
      <c r="E38" s="14"/>
      <c r="F38" s="7"/>
      <c r="G38" s="14"/>
      <c r="H38" s="15" t="str">
        <f t="shared" ref="H38:H65" si="2">IF(B38="","",IF(OR(E38="",G38="",G38=0),"",(E38-G38)/G38))</f>
        <v/>
      </c>
      <c r="I38" s="16" t="str">
        <f t="shared" ref="I38:I65" si="3">IF(B38="","",IF(D38="","",D38*E38))</f>
        <v/>
      </c>
      <c r="J38" s="8"/>
    </row>
    <row r="39" spans="2:10" x14ac:dyDescent="0.25">
      <c r="B39" s="10"/>
      <c r="C39" s="17" t="str">
        <f>IF(B39="","",IFERROR(VLOOKUP(B39,'Cadastro de Produtos'!$B:$C,2,0),""))</f>
        <v/>
      </c>
      <c r="D39" s="12"/>
      <c r="E39" s="18"/>
      <c r="F39" s="10"/>
      <c r="G39" s="18"/>
      <c r="H39" s="19" t="str">
        <f t="shared" si="2"/>
        <v/>
      </c>
      <c r="I39" s="20" t="str">
        <f t="shared" si="3"/>
        <v/>
      </c>
      <c r="J39" s="11"/>
    </row>
    <row r="40" spans="2:10" x14ac:dyDescent="0.25">
      <c r="B40" s="7"/>
      <c r="C40" s="13" t="str">
        <f>IF(B40="","",IFERROR(VLOOKUP(B40,'Cadastro de Produtos'!$B:$C,2,0),""))</f>
        <v/>
      </c>
      <c r="D40" s="9"/>
      <c r="E40" s="14"/>
      <c r="F40" s="7"/>
      <c r="G40" s="14"/>
      <c r="H40" s="15" t="str">
        <f t="shared" si="2"/>
        <v/>
      </c>
      <c r="I40" s="16" t="str">
        <f t="shared" si="3"/>
        <v/>
      </c>
      <c r="J40" s="8"/>
    </row>
    <row r="41" spans="2:10" x14ac:dyDescent="0.25">
      <c r="B41" s="10"/>
      <c r="C41" s="17" t="str">
        <f>IF(B41="","",IFERROR(VLOOKUP(B41,'Cadastro de Produtos'!$B:$C,2,0),""))</f>
        <v/>
      </c>
      <c r="D41" s="12"/>
      <c r="E41" s="18"/>
      <c r="F41" s="10"/>
      <c r="G41" s="18"/>
      <c r="H41" s="19" t="str">
        <f t="shared" si="2"/>
        <v/>
      </c>
      <c r="I41" s="20" t="str">
        <f t="shared" si="3"/>
        <v/>
      </c>
      <c r="J41" s="11"/>
    </row>
    <row r="42" spans="2:10" x14ac:dyDescent="0.25">
      <c r="B42" s="7"/>
      <c r="C42" s="13" t="str">
        <f>IF(B42="","",IFERROR(VLOOKUP(B42,'Cadastro de Produtos'!$B:$C,2,0),""))</f>
        <v/>
      </c>
      <c r="D42" s="9"/>
      <c r="E42" s="14"/>
      <c r="F42" s="7"/>
      <c r="G42" s="14"/>
      <c r="H42" s="15" t="str">
        <f t="shared" si="2"/>
        <v/>
      </c>
      <c r="I42" s="16" t="str">
        <f t="shared" si="3"/>
        <v/>
      </c>
      <c r="J42" s="8"/>
    </row>
    <row r="43" spans="2:10" x14ac:dyDescent="0.25">
      <c r="B43" s="10"/>
      <c r="C43" s="17" t="str">
        <f>IF(B43="","",IFERROR(VLOOKUP(B43,'Cadastro de Produtos'!$B:$C,2,0),""))</f>
        <v/>
      </c>
      <c r="D43" s="12"/>
      <c r="E43" s="18"/>
      <c r="F43" s="10"/>
      <c r="G43" s="18"/>
      <c r="H43" s="19" t="str">
        <f t="shared" si="2"/>
        <v/>
      </c>
      <c r="I43" s="20" t="str">
        <f t="shared" si="3"/>
        <v/>
      </c>
      <c r="J43" s="11"/>
    </row>
    <row r="44" spans="2:10" x14ac:dyDescent="0.25">
      <c r="B44" s="7"/>
      <c r="C44" s="13" t="str">
        <f>IF(B44="","",IFERROR(VLOOKUP(B44,'Cadastro de Produtos'!$B:$C,2,0),""))</f>
        <v/>
      </c>
      <c r="D44" s="9"/>
      <c r="E44" s="14"/>
      <c r="F44" s="7"/>
      <c r="G44" s="14"/>
      <c r="H44" s="15" t="str">
        <f t="shared" si="2"/>
        <v/>
      </c>
      <c r="I44" s="16" t="str">
        <f t="shared" si="3"/>
        <v/>
      </c>
      <c r="J44" s="8"/>
    </row>
    <row r="45" spans="2:10" x14ac:dyDescent="0.25">
      <c r="B45" s="10"/>
      <c r="C45" s="17" t="str">
        <f>IF(B45="","",IFERROR(VLOOKUP(B45,'Cadastro de Produtos'!$B:$C,2,0),""))</f>
        <v/>
      </c>
      <c r="D45" s="12"/>
      <c r="E45" s="18"/>
      <c r="F45" s="10"/>
      <c r="G45" s="18"/>
      <c r="H45" s="19" t="str">
        <f t="shared" si="2"/>
        <v/>
      </c>
      <c r="I45" s="20" t="str">
        <f t="shared" si="3"/>
        <v/>
      </c>
      <c r="J45" s="11"/>
    </row>
    <row r="46" spans="2:10" x14ac:dyDescent="0.25">
      <c r="B46" s="7"/>
      <c r="C46" s="13" t="str">
        <f>IF(B46="","",IFERROR(VLOOKUP(B46,'Cadastro de Produtos'!$B:$C,2,0),""))</f>
        <v/>
      </c>
      <c r="D46" s="9"/>
      <c r="E46" s="14"/>
      <c r="F46" s="7"/>
      <c r="G46" s="14"/>
      <c r="H46" s="15" t="str">
        <f t="shared" si="2"/>
        <v/>
      </c>
      <c r="I46" s="16" t="str">
        <f t="shared" si="3"/>
        <v/>
      </c>
      <c r="J46" s="8"/>
    </row>
    <row r="47" spans="2:10" x14ac:dyDescent="0.25">
      <c r="B47" s="10"/>
      <c r="C47" s="17" t="str">
        <f>IF(B47="","",IFERROR(VLOOKUP(B47,'Cadastro de Produtos'!$B:$C,2,0),""))</f>
        <v/>
      </c>
      <c r="D47" s="12"/>
      <c r="E47" s="18"/>
      <c r="F47" s="10"/>
      <c r="G47" s="18"/>
      <c r="H47" s="19" t="str">
        <f t="shared" si="2"/>
        <v/>
      </c>
      <c r="I47" s="20" t="str">
        <f t="shared" si="3"/>
        <v/>
      </c>
      <c r="J47" s="11"/>
    </row>
    <row r="48" spans="2:10" x14ac:dyDescent="0.25">
      <c r="B48" s="7"/>
      <c r="C48" s="13" t="str">
        <f>IF(B48="","",IFERROR(VLOOKUP(B48,'Cadastro de Produtos'!$B:$C,2,0),""))</f>
        <v/>
      </c>
      <c r="D48" s="9"/>
      <c r="E48" s="14"/>
      <c r="F48" s="7"/>
      <c r="G48" s="14"/>
      <c r="H48" s="15" t="str">
        <f t="shared" si="2"/>
        <v/>
      </c>
      <c r="I48" s="16" t="str">
        <f t="shared" si="3"/>
        <v/>
      </c>
      <c r="J48" s="8"/>
    </row>
    <row r="49" spans="2:10" x14ac:dyDescent="0.25">
      <c r="B49" s="10"/>
      <c r="C49" s="17" t="str">
        <f>IF(B49="","",IFERROR(VLOOKUP(B49,'Cadastro de Produtos'!$B:$C,2,0),""))</f>
        <v/>
      </c>
      <c r="D49" s="12"/>
      <c r="E49" s="18"/>
      <c r="F49" s="10"/>
      <c r="G49" s="18"/>
      <c r="H49" s="19" t="str">
        <f t="shared" si="2"/>
        <v/>
      </c>
      <c r="I49" s="20" t="str">
        <f t="shared" si="3"/>
        <v/>
      </c>
      <c r="J49" s="11"/>
    </row>
    <row r="50" spans="2:10" x14ac:dyDescent="0.25">
      <c r="B50" s="7"/>
      <c r="C50" s="13" t="str">
        <f>IF(B50="","",IFERROR(VLOOKUP(B50,'Cadastro de Produtos'!$B:$C,2,0),""))</f>
        <v/>
      </c>
      <c r="D50" s="9"/>
      <c r="E50" s="14"/>
      <c r="F50" s="7"/>
      <c r="G50" s="14"/>
      <c r="H50" s="15" t="str">
        <f t="shared" si="2"/>
        <v/>
      </c>
      <c r="I50" s="16" t="str">
        <f t="shared" si="3"/>
        <v/>
      </c>
      <c r="J50" s="8"/>
    </row>
    <row r="51" spans="2:10" x14ac:dyDescent="0.25">
      <c r="B51" s="10"/>
      <c r="C51" s="17" t="str">
        <f>IF(B51="","",IFERROR(VLOOKUP(B51,'Cadastro de Produtos'!$B:$C,2,0),""))</f>
        <v/>
      </c>
      <c r="D51" s="12"/>
      <c r="E51" s="18"/>
      <c r="F51" s="10"/>
      <c r="G51" s="18"/>
      <c r="H51" s="19" t="str">
        <f t="shared" si="2"/>
        <v/>
      </c>
      <c r="I51" s="20" t="str">
        <f t="shared" si="3"/>
        <v/>
      </c>
      <c r="J51" s="11"/>
    </row>
    <row r="52" spans="2:10" x14ac:dyDescent="0.25">
      <c r="B52" s="7"/>
      <c r="C52" s="13" t="str">
        <f>IF(B52="","",IFERROR(VLOOKUP(B52,'Cadastro de Produtos'!$B:$C,2,0),""))</f>
        <v/>
      </c>
      <c r="D52" s="9"/>
      <c r="E52" s="14"/>
      <c r="F52" s="7"/>
      <c r="G52" s="14"/>
      <c r="H52" s="15" t="str">
        <f t="shared" si="2"/>
        <v/>
      </c>
      <c r="I52" s="16" t="str">
        <f t="shared" si="3"/>
        <v/>
      </c>
      <c r="J52" s="8"/>
    </row>
    <row r="53" spans="2:10" x14ac:dyDescent="0.25">
      <c r="B53" s="10"/>
      <c r="C53" s="17" t="str">
        <f>IF(B53="","",IFERROR(VLOOKUP(B53,'Cadastro de Produtos'!$B:$C,2,0),""))</f>
        <v/>
      </c>
      <c r="D53" s="12"/>
      <c r="E53" s="18"/>
      <c r="F53" s="10"/>
      <c r="G53" s="18"/>
      <c r="H53" s="19" t="str">
        <f t="shared" si="2"/>
        <v/>
      </c>
      <c r="I53" s="20" t="str">
        <f t="shared" si="3"/>
        <v/>
      </c>
      <c r="J53" s="11"/>
    </row>
    <row r="54" spans="2:10" x14ac:dyDescent="0.25">
      <c r="B54" s="7"/>
      <c r="C54" s="13" t="str">
        <f>IF(B54="","",IFERROR(VLOOKUP(B54,'Cadastro de Produtos'!$B:$C,2,0),""))</f>
        <v/>
      </c>
      <c r="D54" s="9"/>
      <c r="E54" s="14"/>
      <c r="F54" s="7"/>
      <c r="G54" s="14"/>
      <c r="H54" s="15" t="str">
        <f t="shared" si="2"/>
        <v/>
      </c>
      <c r="I54" s="16" t="str">
        <f t="shared" si="3"/>
        <v/>
      </c>
      <c r="J54" s="8"/>
    </row>
    <row r="55" spans="2:10" x14ac:dyDescent="0.25">
      <c r="B55" s="10"/>
      <c r="C55" s="17" t="str">
        <f>IF(B55="","",IFERROR(VLOOKUP(B55,'Cadastro de Produtos'!$B:$C,2,0),""))</f>
        <v/>
      </c>
      <c r="D55" s="12"/>
      <c r="E55" s="18"/>
      <c r="F55" s="10"/>
      <c r="G55" s="18"/>
      <c r="H55" s="19" t="str">
        <f t="shared" si="2"/>
        <v/>
      </c>
      <c r="I55" s="20" t="str">
        <f t="shared" si="3"/>
        <v/>
      </c>
      <c r="J55" s="11"/>
    </row>
    <row r="56" spans="2:10" x14ac:dyDescent="0.25">
      <c r="B56" s="7"/>
      <c r="C56" s="13" t="str">
        <f>IF(B56="","",IFERROR(VLOOKUP(B56,'Cadastro de Produtos'!$B:$C,2,0),""))</f>
        <v/>
      </c>
      <c r="D56" s="9"/>
      <c r="E56" s="14"/>
      <c r="F56" s="7"/>
      <c r="G56" s="14"/>
      <c r="H56" s="15" t="str">
        <f t="shared" si="2"/>
        <v/>
      </c>
      <c r="I56" s="16" t="str">
        <f t="shared" si="3"/>
        <v/>
      </c>
      <c r="J56" s="8"/>
    </row>
    <row r="57" spans="2:10" x14ac:dyDescent="0.25">
      <c r="B57" s="10"/>
      <c r="C57" s="17" t="str">
        <f>IF(B57="","",IFERROR(VLOOKUP(B57,'Cadastro de Produtos'!$B:$C,2,0),""))</f>
        <v/>
      </c>
      <c r="D57" s="12"/>
      <c r="E57" s="18"/>
      <c r="F57" s="10"/>
      <c r="G57" s="18"/>
      <c r="H57" s="19" t="str">
        <f t="shared" si="2"/>
        <v/>
      </c>
      <c r="I57" s="20" t="str">
        <f t="shared" si="3"/>
        <v/>
      </c>
      <c r="J57" s="11"/>
    </row>
    <row r="58" spans="2:10" x14ac:dyDescent="0.25">
      <c r="B58" s="7"/>
      <c r="C58" s="13" t="str">
        <f>IF(B58="","",IFERROR(VLOOKUP(B58,'Cadastro de Produtos'!$B:$C,2,0),""))</f>
        <v/>
      </c>
      <c r="D58" s="9"/>
      <c r="E58" s="14"/>
      <c r="F58" s="7"/>
      <c r="G58" s="14"/>
      <c r="H58" s="15" t="str">
        <f t="shared" si="2"/>
        <v/>
      </c>
      <c r="I58" s="16" t="str">
        <f t="shared" si="3"/>
        <v/>
      </c>
      <c r="J58" s="8"/>
    </row>
    <row r="59" spans="2:10" x14ac:dyDescent="0.25">
      <c r="B59" s="10"/>
      <c r="C59" s="17" t="str">
        <f>IF(B59="","",IFERROR(VLOOKUP(B59,'Cadastro de Produtos'!$B:$C,2,0),""))</f>
        <v/>
      </c>
      <c r="D59" s="12"/>
      <c r="E59" s="18"/>
      <c r="F59" s="10"/>
      <c r="G59" s="18"/>
      <c r="H59" s="19" t="str">
        <f t="shared" si="2"/>
        <v/>
      </c>
      <c r="I59" s="20" t="str">
        <f t="shared" si="3"/>
        <v/>
      </c>
      <c r="J59" s="11"/>
    </row>
    <row r="60" spans="2:10" x14ac:dyDescent="0.25">
      <c r="B60" s="7"/>
      <c r="C60" s="13" t="str">
        <f>IF(B60="","",IFERROR(VLOOKUP(B60,'Cadastro de Produtos'!$B:$C,2,0),""))</f>
        <v/>
      </c>
      <c r="D60" s="9"/>
      <c r="E60" s="14"/>
      <c r="F60" s="7"/>
      <c r="G60" s="14"/>
      <c r="H60" s="15" t="str">
        <f t="shared" si="2"/>
        <v/>
      </c>
      <c r="I60" s="16" t="str">
        <f t="shared" si="3"/>
        <v/>
      </c>
      <c r="J60" s="8"/>
    </row>
    <row r="61" spans="2:10" x14ac:dyDescent="0.25">
      <c r="B61" s="10"/>
      <c r="C61" s="17" t="str">
        <f>IF(B61="","",IFERROR(VLOOKUP(B61,'Cadastro de Produtos'!$B:$C,2,0),""))</f>
        <v/>
      </c>
      <c r="D61" s="12"/>
      <c r="E61" s="18"/>
      <c r="F61" s="10"/>
      <c r="G61" s="18"/>
      <c r="H61" s="19" t="str">
        <f t="shared" si="2"/>
        <v/>
      </c>
      <c r="I61" s="20" t="str">
        <f t="shared" si="3"/>
        <v/>
      </c>
      <c r="J61" s="11"/>
    </row>
    <row r="62" spans="2:10" x14ac:dyDescent="0.25">
      <c r="B62" s="7"/>
      <c r="C62" s="13" t="str">
        <f>IF(B62="","",IFERROR(VLOOKUP(B62,'Cadastro de Produtos'!$B:$C,2,0),""))</f>
        <v/>
      </c>
      <c r="D62" s="9"/>
      <c r="E62" s="14"/>
      <c r="F62" s="7"/>
      <c r="G62" s="14"/>
      <c r="H62" s="15" t="str">
        <f t="shared" si="2"/>
        <v/>
      </c>
      <c r="I62" s="16" t="str">
        <f t="shared" si="3"/>
        <v/>
      </c>
      <c r="J62" s="8"/>
    </row>
    <row r="63" spans="2:10" x14ac:dyDescent="0.25">
      <c r="B63" s="10"/>
      <c r="C63" s="17" t="str">
        <f>IF(B63="","",IFERROR(VLOOKUP(B63,'Cadastro de Produtos'!$B:$C,2,0),""))</f>
        <v/>
      </c>
      <c r="D63" s="12"/>
      <c r="E63" s="18"/>
      <c r="F63" s="10"/>
      <c r="G63" s="18"/>
      <c r="H63" s="19" t="str">
        <f t="shared" si="2"/>
        <v/>
      </c>
      <c r="I63" s="20" t="str">
        <f t="shared" si="3"/>
        <v/>
      </c>
      <c r="J63" s="11"/>
    </row>
    <row r="64" spans="2:10" x14ac:dyDescent="0.25">
      <c r="B64" s="7"/>
      <c r="C64" s="13" t="str">
        <f>IF(B64="","",IFERROR(VLOOKUP(B64,'Cadastro de Produtos'!$B:$C,2,0),""))</f>
        <v/>
      </c>
      <c r="D64" s="9"/>
      <c r="E64" s="14"/>
      <c r="F64" s="7"/>
      <c r="G64" s="14"/>
      <c r="H64" s="15" t="str">
        <f t="shared" si="2"/>
        <v/>
      </c>
      <c r="I64" s="16" t="str">
        <f t="shared" si="3"/>
        <v/>
      </c>
      <c r="J64" s="8"/>
    </row>
    <row r="65" spans="2:10" x14ac:dyDescent="0.25">
      <c r="B65" s="10"/>
      <c r="C65" s="17" t="str">
        <f>IF(B65="","",IFERROR(VLOOKUP(B65,'Cadastro de Produtos'!$B:$C,2,0),""))</f>
        <v/>
      </c>
      <c r="D65" s="12"/>
      <c r="E65" s="18"/>
      <c r="F65" s="10"/>
      <c r="G65" s="18"/>
      <c r="H65" s="19" t="str">
        <f t="shared" si="2"/>
        <v/>
      </c>
      <c r="I65" s="20" t="str">
        <f t="shared" si="3"/>
        <v/>
      </c>
      <c r="J65" s="11"/>
    </row>
  </sheetData>
  <sheetProtection sheet="1" autoFilter="0"/>
  <mergeCells count="2">
    <mergeCell ref="B2:J2"/>
    <mergeCell ref="B3:J3"/>
  </mergeCells>
  <conditionalFormatting sqref="B6:J65">
    <cfRule type="expression" dxfId="17" priority="2">
      <formula>$J6="✅ Sim"</formula>
    </cfRule>
    <cfRule type="expression" dxfId="16" priority="3">
      <formula>AND($H6&lt;&gt;"",$H6&gt;0)</formula>
    </cfRule>
    <cfRule type="expression" dxfId="15" priority="4">
      <formula>AND($H6&lt;&gt;"",$H6&lt;0)</formula>
    </cfRule>
  </conditionalFormatting>
  <dataValidations count="1">
    <dataValidation type="list" allowBlank="1" showErrorMessage="1" errorTitle="Opção inválida" error="Escolha uma opção da lista suspensa." sqref="J6:J65" xr:uid="{00000000-0002-0000-0900-000002000000}">
      <formula1>"❌ Não,✅ Sim"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Produto inválido" error="Escolha um produto da lista suspensa. Se não aparece, cadastre-o primeiro na aba Cadastro de Produtos." xr:uid="{00000000-0002-0000-0900-000000000000}">
          <x14:formula1>
            <xm:f>'Cadastro de Produtos'!$B$6:$B$65</xm:f>
          </x14:formula1>
          <x14:formula2>
            <xm:f>0</xm:f>
          </x14:formula2>
          <xm:sqref>B6:B65</xm:sqref>
        </x14:dataValidation>
        <x14:dataValidation type="list" allowBlank="1" showErrorMessage="1" errorTitle="Mercado inválido" error="Escolha um mercado da lista suspensa. Se não aparece, cadastre-o primeiro na aba Cadastro de Produtos." xr:uid="{00000000-0002-0000-0900-000001000000}">
          <x14:formula1>
            <xm:f>'Cadastro de Produtos'!$F$6:$F$25</xm:f>
          </x14:formula1>
          <x14:formula2>
            <xm:f>0</xm:f>
          </x14:formula2>
          <xm:sqref>F6:F65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J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7109375" defaultRowHeight="15" x14ac:dyDescent="0.25"/>
  <cols>
    <col min="1" max="1" width="3" customWidth="1"/>
    <col min="2" max="2" width="22" customWidth="1"/>
    <col min="3" max="3" width="14" customWidth="1"/>
    <col min="4" max="4" width="11" customWidth="1"/>
    <col min="5" max="5" width="13" customWidth="1"/>
    <col min="6" max="6" width="16" customWidth="1"/>
    <col min="7" max="7" width="15" customWidth="1"/>
    <col min="8" max="8" width="13" customWidth="1"/>
    <col min="9" max="9" width="14" customWidth="1"/>
    <col min="10" max="10" width="12" customWidth="1"/>
  </cols>
  <sheetData>
    <row r="2" spans="2:10" ht="27.75" customHeight="1" x14ac:dyDescent="0.25">
      <c r="B2" s="58" t="s">
        <v>71</v>
      </c>
      <c r="C2" s="58"/>
      <c r="D2" s="58"/>
      <c r="E2" s="58"/>
      <c r="F2" s="58"/>
      <c r="G2" s="58"/>
      <c r="H2" s="58"/>
      <c r="I2" s="58"/>
      <c r="J2" s="58"/>
    </row>
    <row r="3" spans="2:10" ht="19.5" customHeight="1" x14ac:dyDescent="0.25">
      <c r="B3" s="57" t="s">
        <v>55</v>
      </c>
      <c r="C3" s="57"/>
      <c r="D3" s="57"/>
      <c r="E3" s="57"/>
      <c r="F3" s="57"/>
      <c r="G3" s="57"/>
      <c r="H3" s="57"/>
      <c r="I3" s="57"/>
      <c r="J3" s="57"/>
    </row>
    <row r="5" spans="2:10" ht="24" x14ac:dyDescent="0.25">
      <c r="B5" s="6" t="s">
        <v>38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61</v>
      </c>
      <c r="I5" s="6" t="s">
        <v>62</v>
      </c>
      <c r="J5" s="6" t="s">
        <v>63</v>
      </c>
    </row>
    <row r="6" spans="2:10" x14ac:dyDescent="0.25">
      <c r="B6" s="7"/>
      <c r="C6" s="13" t="str">
        <f>IF(B6="","",IFERROR(VLOOKUP(B6,'Cadastro de Produtos'!$B:$C,2,0),""))</f>
        <v/>
      </c>
      <c r="D6" s="9"/>
      <c r="E6" s="14"/>
      <c r="F6" s="7"/>
      <c r="G6" s="14"/>
      <c r="H6" s="15" t="str">
        <f t="shared" ref="H6:H37" si="0">IF(B6="","",IF(OR(E6="",G6="",G6=0),"",(E6-G6)/G6))</f>
        <v/>
      </c>
      <c r="I6" s="16" t="str">
        <f t="shared" ref="I6:I37" si="1">IF(B6="","",IF(D6="","",D6*E6))</f>
        <v/>
      </c>
      <c r="J6" s="8"/>
    </row>
    <row r="7" spans="2:10" x14ac:dyDescent="0.25">
      <c r="B7" s="10"/>
      <c r="C7" s="17" t="str">
        <f>IF(B7="","",IFERROR(VLOOKUP(B7,'Cadastro de Produtos'!$B:$C,2,0),""))</f>
        <v/>
      </c>
      <c r="D7" s="12"/>
      <c r="E7" s="18"/>
      <c r="F7" s="10"/>
      <c r="G7" s="18"/>
      <c r="H7" s="19" t="str">
        <f t="shared" si="0"/>
        <v/>
      </c>
      <c r="I7" s="20" t="str">
        <f t="shared" si="1"/>
        <v/>
      </c>
      <c r="J7" s="11"/>
    </row>
    <row r="8" spans="2:10" x14ac:dyDescent="0.25">
      <c r="B8" s="7"/>
      <c r="C8" s="13" t="str">
        <f>IF(B8="","",IFERROR(VLOOKUP(B8,'Cadastro de Produtos'!$B:$C,2,0),""))</f>
        <v/>
      </c>
      <c r="D8" s="9"/>
      <c r="E8" s="14"/>
      <c r="F8" s="7"/>
      <c r="G8" s="14"/>
      <c r="H8" s="15" t="str">
        <f t="shared" si="0"/>
        <v/>
      </c>
      <c r="I8" s="16" t="str">
        <f t="shared" si="1"/>
        <v/>
      </c>
      <c r="J8" s="8"/>
    </row>
    <row r="9" spans="2:10" x14ac:dyDescent="0.25">
      <c r="B9" s="10"/>
      <c r="C9" s="17" t="str">
        <f>IF(B9="","",IFERROR(VLOOKUP(B9,'Cadastro de Produtos'!$B:$C,2,0),""))</f>
        <v/>
      </c>
      <c r="D9" s="12"/>
      <c r="E9" s="18"/>
      <c r="F9" s="10"/>
      <c r="G9" s="18"/>
      <c r="H9" s="19" t="str">
        <f t="shared" si="0"/>
        <v/>
      </c>
      <c r="I9" s="20" t="str">
        <f t="shared" si="1"/>
        <v/>
      </c>
      <c r="J9" s="11"/>
    </row>
    <row r="10" spans="2:10" x14ac:dyDescent="0.25">
      <c r="B10" s="7"/>
      <c r="C10" s="13" t="str">
        <f>IF(B10="","",IFERROR(VLOOKUP(B10,'Cadastro de Produtos'!$B:$C,2,0),""))</f>
        <v/>
      </c>
      <c r="D10" s="9"/>
      <c r="E10" s="14"/>
      <c r="F10" s="7"/>
      <c r="G10" s="14"/>
      <c r="H10" s="15" t="str">
        <f t="shared" si="0"/>
        <v/>
      </c>
      <c r="I10" s="16" t="str">
        <f t="shared" si="1"/>
        <v/>
      </c>
      <c r="J10" s="8"/>
    </row>
    <row r="11" spans="2:10" x14ac:dyDescent="0.25">
      <c r="B11" s="10"/>
      <c r="C11" s="17" t="str">
        <f>IF(B11="","",IFERROR(VLOOKUP(B11,'Cadastro de Produtos'!$B:$C,2,0),""))</f>
        <v/>
      </c>
      <c r="D11" s="12"/>
      <c r="E11" s="18"/>
      <c r="F11" s="10"/>
      <c r="G11" s="18"/>
      <c r="H11" s="19" t="str">
        <f t="shared" si="0"/>
        <v/>
      </c>
      <c r="I11" s="20" t="str">
        <f t="shared" si="1"/>
        <v/>
      </c>
      <c r="J11" s="11"/>
    </row>
    <row r="12" spans="2:10" x14ac:dyDescent="0.25">
      <c r="B12" s="7"/>
      <c r="C12" s="13" t="str">
        <f>IF(B12="","",IFERROR(VLOOKUP(B12,'Cadastro de Produtos'!$B:$C,2,0),""))</f>
        <v/>
      </c>
      <c r="D12" s="9"/>
      <c r="E12" s="14"/>
      <c r="F12" s="7"/>
      <c r="G12" s="14"/>
      <c r="H12" s="15" t="str">
        <f t="shared" si="0"/>
        <v/>
      </c>
      <c r="I12" s="16" t="str">
        <f t="shared" si="1"/>
        <v/>
      </c>
      <c r="J12" s="8"/>
    </row>
    <row r="13" spans="2:10" x14ac:dyDescent="0.25">
      <c r="B13" s="10"/>
      <c r="C13" s="17" t="str">
        <f>IF(B13="","",IFERROR(VLOOKUP(B13,'Cadastro de Produtos'!$B:$C,2,0),""))</f>
        <v/>
      </c>
      <c r="D13" s="12"/>
      <c r="E13" s="18"/>
      <c r="F13" s="10"/>
      <c r="G13" s="18"/>
      <c r="H13" s="19" t="str">
        <f t="shared" si="0"/>
        <v/>
      </c>
      <c r="I13" s="20" t="str">
        <f t="shared" si="1"/>
        <v/>
      </c>
      <c r="J13" s="11"/>
    </row>
    <row r="14" spans="2:10" x14ac:dyDescent="0.25">
      <c r="B14" s="7"/>
      <c r="C14" s="13" t="str">
        <f>IF(B14="","",IFERROR(VLOOKUP(B14,'Cadastro de Produtos'!$B:$C,2,0),""))</f>
        <v/>
      </c>
      <c r="D14" s="9"/>
      <c r="E14" s="14"/>
      <c r="F14" s="7"/>
      <c r="G14" s="14"/>
      <c r="H14" s="15" t="str">
        <f t="shared" si="0"/>
        <v/>
      </c>
      <c r="I14" s="16" t="str">
        <f t="shared" si="1"/>
        <v/>
      </c>
      <c r="J14" s="8"/>
    </row>
    <row r="15" spans="2:10" x14ac:dyDescent="0.25">
      <c r="B15" s="10"/>
      <c r="C15" s="17" t="str">
        <f>IF(B15="","",IFERROR(VLOOKUP(B15,'Cadastro de Produtos'!$B:$C,2,0),""))</f>
        <v/>
      </c>
      <c r="D15" s="12"/>
      <c r="E15" s="18"/>
      <c r="F15" s="10"/>
      <c r="G15" s="18"/>
      <c r="H15" s="19" t="str">
        <f t="shared" si="0"/>
        <v/>
      </c>
      <c r="I15" s="20" t="str">
        <f t="shared" si="1"/>
        <v/>
      </c>
      <c r="J15" s="11"/>
    </row>
    <row r="16" spans="2:10" x14ac:dyDescent="0.25">
      <c r="B16" s="7"/>
      <c r="C16" s="13" t="str">
        <f>IF(B16="","",IFERROR(VLOOKUP(B16,'Cadastro de Produtos'!$B:$C,2,0),""))</f>
        <v/>
      </c>
      <c r="D16" s="9"/>
      <c r="E16" s="14"/>
      <c r="F16" s="7"/>
      <c r="G16" s="14"/>
      <c r="H16" s="15" t="str">
        <f t="shared" si="0"/>
        <v/>
      </c>
      <c r="I16" s="16" t="str">
        <f t="shared" si="1"/>
        <v/>
      </c>
      <c r="J16" s="8"/>
    </row>
    <row r="17" spans="2:10" x14ac:dyDescent="0.25">
      <c r="B17" s="10"/>
      <c r="C17" s="17" t="str">
        <f>IF(B17="","",IFERROR(VLOOKUP(B17,'Cadastro de Produtos'!$B:$C,2,0),""))</f>
        <v/>
      </c>
      <c r="D17" s="12"/>
      <c r="E17" s="18"/>
      <c r="F17" s="10"/>
      <c r="G17" s="18"/>
      <c r="H17" s="19" t="str">
        <f t="shared" si="0"/>
        <v/>
      </c>
      <c r="I17" s="20" t="str">
        <f t="shared" si="1"/>
        <v/>
      </c>
      <c r="J17" s="11"/>
    </row>
    <row r="18" spans="2:10" x14ac:dyDescent="0.25">
      <c r="B18" s="7"/>
      <c r="C18" s="13" t="str">
        <f>IF(B18="","",IFERROR(VLOOKUP(B18,'Cadastro de Produtos'!$B:$C,2,0),""))</f>
        <v/>
      </c>
      <c r="D18" s="9"/>
      <c r="E18" s="14"/>
      <c r="F18" s="7"/>
      <c r="G18" s="14"/>
      <c r="H18" s="15" t="str">
        <f t="shared" si="0"/>
        <v/>
      </c>
      <c r="I18" s="16" t="str">
        <f t="shared" si="1"/>
        <v/>
      </c>
      <c r="J18" s="8"/>
    </row>
    <row r="19" spans="2:10" x14ac:dyDescent="0.25">
      <c r="B19" s="10"/>
      <c r="C19" s="17" t="str">
        <f>IF(B19="","",IFERROR(VLOOKUP(B19,'Cadastro de Produtos'!$B:$C,2,0),""))</f>
        <v/>
      </c>
      <c r="D19" s="12"/>
      <c r="E19" s="18"/>
      <c r="F19" s="10"/>
      <c r="G19" s="18"/>
      <c r="H19" s="19" t="str">
        <f t="shared" si="0"/>
        <v/>
      </c>
      <c r="I19" s="20" t="str">
        <f t="shared" si="1"/>
        <v/>
      </c>
      <c r="J19" s="11"/>
    </row>
    <row r="20" spans="2:10" x14ac:dyDescent="0.25">
      <c r="B20" s="7"/>
      <c r="C20" s="13" t="str">
        <f>IF(B20="","",IFERROR(VLOOKUP(B20,'Cadastro de Produtos'!$B:$C,2,0),""))</f>
        <v/>
      </c>
      <c r="D20" s="9"/>
      <c r="E20" s="14"/>
      <c r="F20" s="7"/>
      <c r="G20" s="14"/>
      <c r="H20" s="15" t="str">
        <f t="shared" si="0"/>
        <v/>
      </c>
      <c r="I20" s="16" t="str">
        <f t="shared" si="1"/>
        <v/>
      </c>
      <c r="J20" s="8"/>
    </row>
    <row r="21" spans="2:10" x14ac:dyDescent="0.25">
      <c r="B21" s="10"/>
      <c r="C21" s="17" t="str">
        <f>IF(B21="","",IFERROR(VLOOKUP(B21,'Cadastro de Produtos'!$B:$C,2,0),""))</f>
        <v/>
      </c>
      <c r="D21" s="12"/>
      <c r="E21" s="18"/>
      <c r="F21" s="10"/>
      <c r="G21" s="18"/>
      <c r="H21" s="19" t="str">
        <f t="shared" si="0"/>
        <v/>
      </c>
      <c r="I21" s="20" t="str">
        <f t="shared" si="1"/>
        <v/>
      </c>
      <c r="J21" s="11"/>
    </row>
    <row r="22" spans="2:10" x14ac:dyDescent="0.25">
      <c r="B22" s="7"/>
      <c r="C22" s="13" t="str">
        <f>IF(B22="","",IFERROR(VLOOKUP(B22,'Cadastro de Produtos'!$B:$C,2,0),""))</f>
        <v/>
      </c>
      <c r="D22" s="9"/>
      <c r="E22" s="14"/>
      <c r="F22" s="7"/>
      <c r="G22" s="14"/>
      <c r="H22" s="15" t="str">
        <f t="shared" si="0"/>
        <v/>
      </c>
      <c r="I22" s="16" t="str">
        <f t="shared" si="1"/>
        <v/>
      </c>
      <c r="J22" s="8"/>
    </row>
    <row r="23" spans="2:10" x14ac:dyDescent="0.25">
      <c r="B23" s="10"/>
      <c r="C23" s="17" t="str">
        <f>IF(B23="","",IFERROR(VLOOKUP(B23,'Cadastro de Produtos'!$B:$C,2,0),""))</f>
        <v/>
      </c>
      <c r="D23" s="12"/>
      <c r="E23" s="18"/>
      <c r="F23" s="10"/>
      <c r="G23" s="18"/>
      <c r="H23" s="19" t="str">
        <f t="shared" si="0"/>
        <v/>
      </c>
      <c r="I23" s="20" t="str">
        <f t="shared" si="1"/>
        <v/>
      </c>
      <c r="J23" s="11"/>
    </row>
    <row r="24" spans="2:10" x14ac:dyDescent="0.25">
      <c r="B24" s="7"/>
      <c r="C24" s="13" t="str">
        <f>IF(B24="","",IFERROR(VLOOKUP(B24,'Cadastro de Produtos'!$B:$C,2,0),""))</f>
        <v/>
      </c>
      <c r="D24" s="9"/>
      <c r="E24" s="14"/>
      <c r="F24" s="7"/>
      <c r="G24" s="14"/>
      <c r="H24" s="15" t="str">
        <f t="shared" si="0"/>
        <v/>
      </c>
      <c r="I24" s="16" t="str">
        <f t="shared" si="1"/>
        <v/>
      </c>
      <c r="J24" s="8"/>
    </row>
    <row r="25" spans="2:10" x14ac:dyDescent="0.25">
      <c r="B25" s="10"/>
      <c r="C25" s="17" t="str">
        <f>IF(B25="","",IFERROR(VLOOKUP(B25,'Cadastro de Produtos'!$B:$C,2,0),""))</f>
        <v/>
      </c>
      <c r="D25" s="12"/>
      <c r="E25" s="18"/>
      <c r="F25" s="10"/>
      <c r="G25" s="18"/>
      <c r="H25" s="19" t="str">
        <f t="shared" si="0"/>
        <v/>
      </c>
      <c r="I25" s="20" t="str">
        <f t="shared" si="1"/>
        <v/>
      </c>
      <c r="J25" s="11"/>
    </row>
    <row r="26" spans="2:10" x14ac:dyDescent="0.25">
      <c r="B26" s="7"/>
      <c r="C26" s="13" t="str">
        <f>IF(B26="","",IFERROR(VLOOKUP(B26,'Cadastro de Produtos'!$B:$C,2,0),""))</f>
        <v/>
      </c>
      <c r="D26" s="9"/>
      <c r="E26" s="14"/>
      <c r="F26" s="7"/>
      <c r="G26" s="14"/>
      <c r="H26" s="15" t="str">
        <f t="shared" si="0"/>
        <v/>
      </c>
      <c r="I26" s="16" t="str">
        <f t="shared" si="1"/>
        <v/>
      </c>
      <c r="J26" s="8"/>
    </row>
    <row r="27" spans="2:10" x14ac:dyDescent="0.25">
      <c r="B27" s="10"/>
      <c r="C27" s="17" t="str">
        <f>IF(B27="","",IFERROR(VLOOKUP(B27,'Cadastro de Produtos'!$B:$C,2,0),""))</f>
        <v/>
      </c>
      <c r="D27" s="12"/>
      <c r="E27" s="18"/>
      <c r="F27" s="10"/>
      <c r="G27" s="18"/>
      <c r="H27" s="19" t="str">
        <f t="shared" si="0"/>
        <v/>
      </c>
      <c r="I27" s="20" t="str">
        <f t="shared" si="1"/>
        <v/>
      </c>
      <c r="J27" s="11"/>
    </row>
    <row r="28" spans="2:10" x14ac:dyDescent="0.25">
      <c r="B28" s="7"/>
      <c r="C28" s="13" t="str">
        <f>IF(B28="","",IFERROR(VLOOKUP(B28,'Cadastro de Produtos'!$B:$C,2,0),""))</f>
        <v/>
      </c>
      <c r="D28" s="9"/>
      <c r="E28" s="14"/>
      <c r="F28" s="7"/>
      <c r="G28" s="14"/>
      <c r="H28" s="15" t="str">
        <f t="shared" si="0"/>
        <v/>
      </c>
      <c r="I28" s="16" t="str">
        <f t="shared" si="1"/>
        <v/>
      </c>
      <c r="J28" s="8"/>
    </row>
    <row r="29" spans="2:10" x14ac:dyDescent="0.25">
      <c r="B29" s="10"/>
      <c r="C29" s="17" t="str">
        <f>IF(B29="","",IFERROR(VLOOKUP(B29,'Cadastro de Produtos'!$B:$C,2,0),""))</f>
        <v/>
      </c>
      <c r="D29" s="12"/>
      <c r="E29" s="18"/>
      <c r="F29" s="10"/>
      <c r="G29" s="18"/>
      <c r="H29" s="19" t="str">
        <f t="shared" si="0"/>
        <v/>
      </c>
      <c r="I29" s="20" t="str">
        <f t="shared" si="1"/>
        <v/>
      </c>
      <c r="J29" s="11"/>
    </row>
    <row r="30" spans="2:10" x14ac:dyDescent="0.25">
      <c r="B30" s="7"/>
      <c r="C30" s="13" t="str">
        <f>IF(B30="","",IFERROR(VLOOKUP(B30,'Cadastro de Produtos'!$B:$C,2,0),""))</f>
        <v/>
      </c>
      <c r="D30" s="9"/>
      <c r="E30" s="14"/>
      <c r="F30" s="7"/>
      <c r="G30" s="14"/>
      <c r="H30" s="15" t="str">
        <f t="shared" si="0"/>
        <v/>
      </c>
      <c r="I30" s="16" t="str">
        <f t="shared" si="1"/>
        <v/>
      </c>
      <c r="J30" s="8"/>
    </row>
    <row r="31" spans="2:10" x14ac:dyDescent="0.25">
      <c r="B31" s="10"/>
      <c r="C31" s="17" t="str">
        <f>IF(B31="","",IFERROR(VLOOKUP(B31,'Cadastro de Produtos'!$B:$C,2,0),""))</f>
        <v/>
      </c>
      <c r="D31" s="12"/>
      <c r="E31" s="18"/>
      <c r="F31" s="10"/>
      <c r="G31" s="18"/>
      <c r="H31" s="19" t="str">
        <f t="shared" si="0"/>
        <v/>
      </c>
      <c r="I31" s="20" t="str">
        <f t="shared" si="1"/>
        <v/>
      </c>
      <c r="J31" s="11"/>
    </row>
    <row r="32" spans="2:10" x14ac:dyDescent="0.25">
      <c r="B32" s="7"/>
      <c r="C32" s="13" t="str">
        <f>IF(B32="","",IFERROR(VLOOKUP(B32,'Cadastro de Produtos'!$B:$C,2,0),""))</f>
        <v/>
      </c>
      <c r="D32" s="9"/>
      <c r="E32" s="14"/>
      <c r="F32" s="7"/>
      <c r="G32" s="14"/>
      <c r="H32" s="15" t="str">
        <f t="shared" si="0"/>
        <v/>
      </c>
      <c r="I32" s="16" t="str">
        <f t="shared" si="1"/>
        <v/>
      </c>
      <c r="J32" s="8"/>
    </row>
    <row r="33" spans="2:10" x14ac:dyDescent="0.25">
      <c r="B33" s="10"/>
      <c r="C33" s="17" t="str">
        <f>IF(B33="","",IFERROR(VLOOKUP(B33,'Cadastro de Produtos'!$B:$C,2,0),""))</f>
        <v/>
      </c>
      <c r="D33" s="12"/>
      <c r="E33" s="18"/>
      <c r="F33" s="10"/>
      <c r="G33" s="18"/>
      <c r="H33" s="19" t="str">
        <f t="shared" si="0"/>
        <v/>
      </c>
      <c r="I33" s="20" t="str">
        <f t="shared" si="1"/>
        <v/>
      </c>
      <c r="J33" s="11"/>
    </row>
    <row r="34" spans="2:10" x14ac:dyDescent="0.25">
      <c r="B34" s="7"/>
      <c r="C34" s="13" t="str">
        <f>IF(B34="","",IFERROR(VLOOKUP(B34,'Cadastro de Produtos'!$B:$C,2,0),""))</f>
        <v/>
      </c>
      <c r="D34" s="9"/>
      <c r="E34" s="14"/>
      <c r="F34" s="7"/>
      <c r="G34" s="14"/>
      <c r="H34" s="15" t="str">
        <f t="shared" si="0"/>
        <v/>
      </c>
      <c r="I34" s="16" t="str">
        <f t="shared" si="1"/>
        <v/>
      </c>
      <c r="J34" s="8"/>
    </row>
    <row r="35" spans="2:10" x14ac:dyDescent="0.25">
      <c r="B35" s="10"/>
      <c r="C35" s="17" t="str">
        <f>IF(B35="","",IFERROR(VLOOKUP(B35,'Cadastro de Produtos'!$B:$C,2,0),""))</f>
        <v/>
      </c>
      <c r="D35" s="12"/>
      <c r="E35" s="18"/>
      <c r="F35" s="10"/>
      <c r="G35" s="18"/>
      <c r="H35" s="19" t="str">
        <f t="shared" si="0"/>
        <v/>
      </c>
      <c r="I35" s="20" t="str">
        <f t="shared" si="1"/>
        <v/>
      </c>
      <c r="J35" s="11"/>
    </row>
    <row r="36" spans="2:10" x14ac:dyDescent="0.25">
      <c r="B36" s="7"/>
      <c r="C36" s="13" t="str">
        <f>IF(B36="","",IFERROR(VLOOKUP(B36,'Cadastro de Produtos'!$B:$C,2,0),""))</f>
        <v/>
      </c>
      <c r="D36" s="9"/>
      <c r="E36" s="14"/>
      <c r="F36" s="7"/>
      <c r="G36" s="14"/>
      <c r="H36" s="15" t="str">
        <f t="shared" si="0"/>
        <v/>
      </c>
      <c r="I36" s="16" t="str">
        <f t="shared" si="1"/>
        <v/>
      </c>
      <c r="J36" s="8"/>
    </row>
    <row r="37" spans="2:10" x14ac:dyDescent="0.25">
      <c r="B37" s="10"/>
      <c r="C37" s="17" t="str">
        <f>IF(B37="","",IFERROR(VLOOKUP(B37,'Cadastro de Produtos'!$B:$C,2,0),""))</f>
        <v/>
      </c>
      <c r="D37" s="12"/>
      <c r="E37" s="18"/>
      <c r="F37" s="10"/>
      <c r="G37" s="18"/>
      <c r="H37" s="19" t="str">
        <f t="shared" si="0"/>
        <v/>
      </c>
      <c r="I37" s="20" t="str">
        <f t="shared" si="1"/>
        <v/>
      </c>
      <c r="J37" s="11"/>
    </row>
    <row r="38" spans="2:10" x14ac:dyDescent="0.25">
      <c r="B38" s="7"/>
      <c r="C38" s="13" t="str">
        <f>IF(B38="","",IFERROR(VLOOKUP(B38,'Cadastro de Produtos'!$B:$C,2,0),""))</f>
        <v/>
      </c>
      <c r="D38" s="9"/>
      <c r="E38" s="14"/>
      <c r="F38" s="7"/>
      <c r="G38" s="14"/>
      <c r="H38" s="15" t="str">
        <f t="shared" ref="H38:H65" si="2">IF(B38="","",IF(OR(E38="",G38="",G38=0),"",(E38-G38)/G38))</f>
        <v/>
      </c>
      <c r="I38" s="16" t="str">
        <f t="shared" ref="I38:I65" si="3">IF(B38="","",IF(D38="","",D38*E38))</f>
        <v/>
      </c>
      <c r="J38" s="8"/>
    </row>
    <row r="39" spans="2:10" x14ac:dyDescent="0.25">
      <c r="B39" s="10"/>
      <c r="C39" s="17" t="str">
        <f>IF(B39="","",IFERROR(VLOOKUP(B39,'Cadastro de Produtos'!$B:$C,2,0),""))</f>
        <v/>
      </c>
      <c r="D39" s="12"/>
      <c r="E39" s="18"/>
      <c r="F39" s="10"/>
      <c r="G39" s="18"/>
      <c r="H39" s="19" t="str">
        <f t="shared" si="2"/>
        <v/>
      </c>
      <c r="I39" s="20" t="str">
        <f t="shared" si="3"/>
        <v/>
      </c>
      <c r="J39" s="11"/>
    </row>
    <row r="40" spans="2:10" x14ac:dyDescent="0.25">
      <c r="B40" s="7"/>
      <c r="C40" s="13" t="str">
        <f>IF(B40="","",IFERROR(VLOOKUP(B40,'Cadastro de Produtos'!$B:$C,2,0),""))</f>
        <v/>
      </c>
      <c r="D40" s="9"/>
      <c r="E40" s="14"/>
      <c r="F40" s="7"/>
      <c r="G40" s="14"/>
      <c r="H40" s="15" t="str">
        <f t="shared" si="2"/>
        <v/>
      </c>
      <c r="I40" s="16" t="str">
        <f t="shared" si="3"/>
        <v/>
      </c>
      <c r="J40" s="8"/>
    </row>
    <row r="41" spans="2:10" x14ac:dyDescent="0.25">
      <c r="B41" s="10"/>
      <c r="C41" s="17" t="str">
        <f>IF(B41="","",IFERROR(VLOOKUP(B41,'Cadastro de Produtos'!$B:$C,2,0),""))</f>
        <v/>
      </c>
      <c r="D41" s="12"/>
      <c r="E41" s="18"/>
      <c r="F41" s="10"/>
      <c r="G41" s="18"/>
      <c r="H41" s="19" t="str">
        <f t="shared" si="2"/>
        <v/>
      </c>
      <c r="I41" s="20" t="str">
        <f t="shared" si="3"/>
        <v/>
      </c>
      <c r="J41" s="11"/>
    </row>
    <row r="42" spans="2:10" x14ac:dyDescent="0.25">
      <c r="B42" s="7"/>
      <c r="C42" s="13" t="str">
        <f>IF(B42="","",IFERROR(VLOOKUP(B42,'Cadastro de Produtos'!$B:$C,2,0),""))</f>
        <v/>
      </c>
      <c r="D42" s="9"/>
      <c r="E42" s="14"/>
      <c r="F42" s="7"/>
      <c r="G42" s="14"/>
      <c r="H42" s="15" t="str">
        <f t="shared" si="2"/>
        <v/>
      </c>
      <c r="I42" s="16" t="str">
        <f t="shared" si="3"/>
        <v/>
      </c>
      <c r="J42" s="8"/>
    </row>
    <row r="43" spans="2:10" x14ac:dyDescent="0.25">
      <c r="B43" s="10"/>
      <c r="C43" s="17" t="str">
        <f>IF(B43="","",IFERROR(VLOOKUP(B43,'Cadastro de Produtos'!$B:$C,2,0),""))</f>
        <v/>
      </c>
      <c r="D43" s="12"/>
      <c r="E43" s="18"/>
      <c r="F43" s="10"/>
      <c r="G43" s="18"/>
      <c r="H43" s="19" t="str">
        <f t="shared" si="2"/>
        <v/>
      </c>
      <c r="I43" s="20" t="str">
        <f t="shared" si="3"/>
        <v/>
      </c>
      <c r="J43" s="11"/>
    </row>
    <row r="44" spans="2:10" x14ac:dyDescent="0.25">
      <c r="B44" s="7"/>
      <c r="C44" s="13" t="str">
        <f>IF(B44="","",IFERROR(VLOOKUP(B44,'Cadastro de Produtos'!$B:$C,2,0),""))</f>
        <v/>
      </c>
      <c r="D44" s="9"/>
      <c r="E44" s="14"/>
      <c r="F44" s="7"/>
      <c r="G44" s="14"/>
      <c r="H44" s="15" t="str">
        <f t="shared" si="2"/>
        <v/>
      </c>
      <c r="I44" s="16" t="str">
        <f t="shared" si="3"/>
        <v/>
      </c>
      <c r="J44" s="8"/>
    </row>
    <row r="45" spans="2:10" x14ac:dyDescent="0.25">
      <c r="B45" s="10"/>
      <c r="C45" s="17" t="str">
        <f>IF(B45="","",IFERROR(VLOOKUP(B45,'Cadastro de Produtos'!$B:$C,2,0),""))</f>
        <v/>
      </c>
      <c r="D45" s="12"/>
      <c r="E45" s="18"/>
      <c r="F45" s="10"/>
      <c r="G45" s="18"/>
      <c r="H45" s="19" t="str">
        <f t="shared" si="2"/>
        <v/>
      </c>
      <c r="I45" s="20" t="str">
        <f t="shared" si="3"/>
        <v/>
      </c>
      <c r="J45" s="11"/>
    </row>
    <row r="46" spans="2:10" x14ac:dyDescent="0.25">
      <c r="B46" s="7"/>
      <c r="C46" s="13" t="str">
        <f>IF(B46="","",IFERROR(VLOOKUP(B46,'Cadastro de Produtos'!$B:$C,2,0),""))</f>
        <v/>
      </c>
      <c r="D46" s="9"/>
      <c r="E46" s="14"/>
      <c r="F46" s="7"/>
      <c r="G46" s="14"/>
      <c r="H46" s="15" t="str">
        <f t="shared" si="2"/>
        <v/>
      </c>
      <c r="I46" s="16" t="str">
        <f t="shared" si="3"/>
        <v/>
      </c>
      <c r="J46" s="8"/>
    </row>
    <row r="47" spans="2:10" x14ac:dyDescent="0.25">
      <c r="B47" s="10"/>
      <c r="C47" s="17" t="str">
        <f>IF(B47="","",IFERROR(VLOOKUP(B47,'Cadastro de Produtos'!$B:$C,2,0),""))</f>
        <v/>
      </c>
      <c r="D47" s="12"/>
      <c r="E47" s="18"/>
      <c r="F47" s="10"/>
      <c r="G47" s="18"/>
      <c r="H47" s="19" t="str">
        <f t="shared" si="2"/>
        <v/>
      </c>
      <c r="I47" s="20" t="str">
        <f t="shared" si="3"/>
        <v/>
      </c>
      <c r="J47" s="11"/>
    </row>
    <row r="48" spans="2:10" x14ac:dyDescent="0.25">
      <c r="B48" s="7"/>
      <c r="C48" s="13" t="str">
        <f>IF(B48="","",IFERROR(VLOOKUP(B48,'Cadastro de Produtos'!$B:$C,2,0),""))</f>
        <v/>
      </c>
      <c r="D48" s="9"/>
      <c r="E48" s="14"/>
      <c r="F48" s="7"/>
      <c r="G48" s="14"/>
      <c r="H48" s="15" t="str">
        <f t="shared" si="2"/>
        <v/>
      </c>
      <c r="I48" s="16" t="str">
        <f t="shared" si="3"/>
        <v/>
      </c>
      <c r="J48" s="8"/>
    </row>
    <row r="49" spans="2:10" x14ac:dyDescent="0.25">
      <c r="B49" s="10"/>
      <c r="C49" s="17" t="str">
        <f>IF(B49="","",IFERROR(VLOOKUP(B49,'Cadastro de Produtos'!$B:$C,2,0),""))</f>
        <v/>
      </c>
      <c r="D49" s="12"/>
      <c r="E49" s="18"/>
      <c r="F49" s="10"/>
      <c r="G49" s="18"/>
      <c r="H49" s="19" t="str">
        <f t="shared" si="2"/>
        <v/>
      </c>
      <c r="I49" s="20" t="str">
        <f t="shared" si="3"/>
        <v/>
      </c>
      <c r="J49" s="11"/>
    </row>
    <row r="50" spans="2:10" x14ac:dyDescent="0.25">
      <c r="B50" s="7"/>
      <c r="C50" s="13" t="str">
        <f>IF(B50="","",IFERROR(VLOOKUP(B50,'Cadastro de Produtos'!$B:$C,2,0),""))</f>
        <v/>
      </c>
      <c r="D50" s="9"/>
      <c r="E50" s="14"/>
      <c r="F50" s="7"/>
      <c r="G50" s="14"/>
      <c r="H50" s="15" t="str">
        <f t="shared" si="2"/>
        <v/>
      </c>
      <c r="I50" s="16" t="str">
        <f t="shared" si="3"/>
        <v/>
      </c>
      <c r="J50" s="8"/>
    </row>
    <row r="51" spans="2:10" x14ac:dyDescent="0.25">
      <c r="B51" s="10"/>
      <c r="C51" s="17" t="str">
        <f>IF(B51="","",IFERROR(VLOOKUP(B51,'Cadastro de Produtos'!$B:$C,2,0),""))</f>
        <v/>
      </c>
      <c r="D51" s="12"/>
      <c r="E51" s="18"/>
      <c r="F51" s="10"/>
      <c r="G51" s="18"/>
      <c r="H51" s="19" t="str">
        <f t="shared" si="2"/>
        <v/>
      </c>
      <c r="I51" s="20" t="str">
        <f t="shared" si="3"/>
        <v/>
      </c>
      <c r="J51" s="11"/>
    </row>
    <row r="52" spans="2:10" x14ac:dyDescent="0.25">
      <c r="B52" s="7"/>
      <c r="C52" s="13" t="str">
        <f>IF(B52="","",IFERROR(VLOOKUP(B52,'Cadastro de Produtos'!$B:$C,2,0),""))</f>
        <v/>
      </c>
      <c r="D52" s="9"/>
      <c r="E52" s="14"/>
      <c r="F52" s="7"/>
      <c r="G52" s="14"/>
      <c r="H52" s="15" t="str">
        <f t="shared" si="2"/>
        <v/>
      </c>
      <c r="I52" s="16" t="str">
        <f t="shared" si="3"/>
        <v/>
      </c>
      <c r="J52" s="8"/>
    </row>
    <row r="53" spans="2:10" x14ac:dyDescent="0.25">
      <c r="B53" s="10"/>
      <c r="C53" s="17" t="str">
        <f>IF(B53="","",IFERROR(VLOOKUP(B53,'Cadastro de Produtos'!$B:$C,2,0),""))</f>
        <v/>
      </c>
      <c r="D53" s="12"/>
      <c r="E53" s="18"/>
      <c r="F53" s="10"/>
      <c r="G53" s="18"/>
      <c r="H53" s="19" t="str">
        <f t="shared" si="2"/>
        <v/>
      </c>
      <c r="I53" s="20" t="str">
        <f t="shared" si="3"/>
        <v/>
      </c>
      <c r="J53" s="11"/>
    </row>
    <row r="54" spans="2:10" x14ac:dyDescent="0.25">
      <c r="B54" s="7"/>
      <c r="C54" s="13" t="str">
        <f>IF(B54="","",IFERROR(VLOOKUP(B54,'Cadastro de Produtos'!$B:$C,2,0),""))</f>
        <v/>
      </c>
      <c r="D54" s="9"/>
      <c r="E54" s="14"/>
      <c r="F54" s="7"/>
      <c r="G54" s="14"/>
      <c r="H54" s="15" t="str">
        <f t="shared" si="2"/>
        <v/>
      </c>
      <c r="I54" s="16" t="str">
        <f t="shared" si="3"/>
        <v/>
      </c>
      <c r="J54" s="8"/>
    </row>
    <row r="55" spans="2:10" x14ac:dyDescent="0.25">
      <c r="B55" s="10"/>
      <c r="C55" s="17" t="str">
        <f>IF(B55="","",IFERROR(VLOOKUP(B55,'Cadastro de Produtos'!$B:$C,2,0),""))</f>
        <v/>
      </c>
      <c r="D55" s="12"/>
      <c r="E55" s="18"/>
      <c r="F55" s="10"/>
      <c r="G55" s="18"/>
      <c r="H55" s="19" t="str">
        <f t="shared" si="2"/>
        <v/>
      </c>
      <c r="I55" s="20" t="str">
        <f t="shared" si="3"/>
        <v/>
      </c>
      <c r="J55" s="11"/>
    </row>
    <row r="56" spans="2:10" x14ac:dyDescent="0.25">
      <c r="B56" s="7"/>
      <c r="C56" s="13" t="str">
        <f>IF(B56="","",IFERROR(VLOOKUP(B56,'Cadastro de Produtos'!$B:$C,2,0),""))</f>
        <v/>
      </c>
      <c r="D56" s="9"/>
      <c r="E56" s="14"/>
      <c r="F56" s="7"/>
      <c r="G56" s="14"/>
      <c r="H56" s="15" t="str">
        <f t="shared" si="2"/>
        <v/>
      </c>
      <c r="I56" s="16" t="str">
        <f t="shared" si="3"/>
        <v/>
      </c>
      <c r="J56" s="8"/>
    </row>
    <row r="57" spans="2:10" x14ac:dyDescent="0.25">
      <c r="B57" s="10"/>
      <c r="C57" s="17" t="str">
        <f>IF(B57="","",IFERROR(VLOOKUP(B57,'Cadastro de Produtos'!$B:$C,2,0),""))</f>
        <v/>
      </c>
      <c r="D57" s="12"/>
      <c r="E57" s="18"/>
      <c r="F57" s="10"/>
      <c r="G57" s="18"/>
      <c r="H57" s="19" t="str">
        <f t="shared" si="2"/>
        <v/>
      </c>
      <c r="I57" s="20" t="str">
        <f t="shared" si="3"/>
        <v/>
      </c>
      <c r="J57" s="11"/>
    </row>
    <row r="58" spans="2:10" x14ac:dyDescent="0.25">
      <c r="B58" s="7"/>
      <c r="C58" s="13" t="str">
        <f>IF(B58="","",IFERROR(VLOOKUP(B58,'Cadastro de Produtos'!$B:$C,2,0),""))</f>
        <v/>
      </c>
      <c r="D58" s="9"/>
      <c r="E58" s="14"/>
      <c r="F58" s="7"/>
      <c r="G58" s="14"/>
      <c r="H58" s="15" t="str">
        <f t="shared" si="2"/>
        <v/>
      </c>
      <c r="I58" s="16" t="str">
        <f t="shared" si="3"/>
        <v/>
      </c>
      <c r="J58" s="8"/>
    </row>
    <row r="59" spans="2:10" x14ac:dyDescent="0.25">
      <c r="B59" s="10"/>
      <c r="C59" s="17" t="str">
        <f>IF(B59="","",IFERROR(VLOOKUP(B59,'Cadastro de Produtos'!$B:$C,2,0),""))</f>
        <v/>
      </c>
      <c r="D59" s="12"/>
      <c r="E59" s="18"/>
      <c r="F59" s="10"/>
      <c r="G59" s="18"/>
      <c r="H59" s="19" t="str">
        <f t="shared" si="2"/>
        <v/>
      </c>
      <c r="I59" s="20" t="str">
        <f t="shared" si="3"/>
        <v/>
      </c>
      <c r="J59" s="11"/>
    </row>
    <row r="60" spans="2:10" x14ac:dyDescent="0.25">
      <c r="B60" s="7"/>
      <c r="C60" s="13" t="str">
        <f>IF(B60="","",IFERROR(VLOOKUP(B60,'Cadastro de Produtos'!$B:$C,2,0),""))</f>
        <v/>
      </c>
      <c r="D60" s="9"/>
      <c r="E60" s="14"/>
      <c r="F60" s="7"/>
      <c r="G60" s="14"/>
      <c r="H60" s="15" t="str">
        <f t="shared" si="2"/>
        <v/>
      </c>
      <c r="I60" s="16" t="str">
        <f t="shared" si="3"/>
        <v/>
      </c>
      <c r="J60" s="8"/>
    </row>
    <row r="61" spans="2:10" x14ac:dyDescent="0.25">
      <c r="B61" s="10"/>
      <c r="C61" s="17" t="str">
        <f>IF(B61="","",IFERROR(VLOOKUP(B61,'Cadastro de Produtos'!$B:$C,2,0),""))</f>
        <v/>
      </c>
      <c r="D61" s="12"/>
      <c r="E61" s="18"/>
      <c r="F61" s="10"/>
      <c r="G61" s="18"/>
      <c r="H61" s="19" t="str">
        <f t="shared" si="2"/>
        <v/>
      </c>
      <c r="I61" s="20" t="str">
        <f t="shared" si="3"/>
        <v/>
      </c>
      <c r="J61" s="11"/>
    </row>
    <row r="62" spans="2:10" x14ac:dyDescent="0.25">
      <c r="B62" s="7"/>
      <c r="C62" s="13" t="str">
        <f>IF(B62="","",IFERROR(VLOOKUP(B62,'Cadastro de Produtos'!$B:$C,2,0),""))</f>
        <v/>
      </c>
      <c r="D62" s="9"/>
      <c r="E62" s="14"/>
      <c r="F62" s="7"/>
      <c r="G62" s="14"/>
      <c r="H62" s="15" t="str">
        <f t="shared" si="2"/>
        <v/>
      </c>
      <c r="I62" s="16" t="str">
        <f t="shared" si="3"/>
        <v/>
      </c>
      <c r="J62" s="8"/>
    </row>
    <row r="63" spans="2:10" x14ac:dyDescent="0.25">
      <c r="B63" s="10"/>
      <c r="C63" s="17" t="str">
        <f>IF(B63="","",IFERROR(VLOOKUP(B63,'Cadastro de Produtos'!$B:$C,2,0),""))</f>
        <v/>
      </c>
      <c r="D63" s="12"/>
      <c r="E63" s="18"/>
      <c r="F63" s="10"/>
      <c r="G63" s="18"/>
      <c r="H63" s="19" t="str">
        <f t="shared" si="2"/>
        <v/>
      </c>
      <c r="I63" s="20" t="str">
        <f t="shared" si="3"/>
        <v/>
      </c>
      <c r="J63" s="11"/>
    </row>
    <row r="64" spans="2:10" x14ac:dyDescent="0.25">
      <c r="B64" s="7"/>
      <c r="C64" s="13" t="str">
        <f>IF(B64="","",IFERROR(VLOOKUP(B64,'Cadastro de Produtos'!$B:$C,2,0),""))</f>
        <v/>
      </c>
      <c r="D64" s="9"/>
      <c r="E64" s="14"/>
      <c r="F64" s="7"/>
      <c r="G64" s="14"/>
      <c r="H64" s="15" t="str">
        <f t="shared" si="2"/>
        <v/>
      </c>
      <c r="I64" s="16" t="str">
        <f t="shared" si="3"/>
        <v/>
      </c>
      <c r="J64" s="8"/>
    </row>
    <row r="65" spans="2:10" x14ac:dyDescent="0.25">
      <c r="B65" s="10"/>
      <c r="C65" s="17" t="str">
        <f>IF(B65="","",IFERROR(VLOOKUP(B65,'Cadastro de Produtos'!$B:$C,2,0),""))</f>
        <v/>
      </c>
      <c r="D65" s="12"/>
      <c r="E65" s="18"/>
      <c r="F65" s="10"/>
      <c r="G65" s="18"/>
      <c r="H65" s="19" t="str">
        <f t="shared" si="2"/>
        <v/>
      </c>
      <c r="I65" s="20" t="str">
        <f t="shared" si="3"/>
        <v/>
      </c>
      <c r="J65" s="11"/>
    </row>
  </sheetData>
  <sheetProtection sheet="1" autoFilter="0"/>
  <mergeCells count="2">
    <mergeCell ref="B2:J2"/>
    <mergeCell ref="B3:J3"/>
  </mergeCells>
  <conditionalFormatting sqref="B6:J65">
    <cfRule type="expression" dxfId="14" priority="2">
      <formula>$J6="✅ Sim"</formula>
    </cfRule>
    <cfRule type="expression" dxfId="13" priority="3">
      <formula>AND($H6&lt;&gt;"",$H6&gt;0)</formula>
    </cfRule>
    <cfRule type="expression" dxfId="12" priority="4">
      <formula>AND($H6&lt;&gt;"",$H6&lt;0)</formula>
    </cfRule>
  </conditionalFormatting>
  <dataValidations count="1">
    <dataValidation type="list" allowBlank="1" showErrorMessage="1" errorTitle="Opção inválida" error="Escolha uma opção da lista suspensa." sqref="J6:J65" xr:uid="{00000000-0002-0000-0A00-000002000000}">
      <formula1>"❌ Não,✅ Sim"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Produto inválido" error="Escolha um produto da lista suspensa. Se não aparece, cadastre-o primeiro na aba Cadastro de Produtos." xr:uid="{00000000-0002-0000-0A00-000000000000}">
          <x14:formula1>
            <xm:f>'Cadastro de Produtos'!$B$6:$B$65</xm:f>
          </x14:formula1>
          <x14:formula2>
            <xm:f>0</xm:f>
          </x14:formula2>
          <xm:sqref>B6:B65</xm:sqref>
        </x14:dataValidation>
        <x14:dataValidation type="list" allowBlank="1" showErrorMessage="1" errorTitle="Mercado inválido" error="Escolha um mercado da lista suspensa. Se não aparece, cadastre-o primeiro na aba Cadastro de Produtos." xr:uid="{00000000-0002-0000-0A00-000001000000}">
          <x14:formula1>
            <xm:f>'Cadastro de Produtos'!$F$6:$F$25</xm:f>
          </x14:formula1>
          <x14:formula2>
            <xm:f>0</xm:f>
          </x14:formula2>
          <xm:sqref>F6:F65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J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7109375" defaultRowHeight="15" x14ac:dyDescent="0.25"/>
  <cols>
    <col min="1" max="1" width="3" customWidth="1"/>
    <col min="2" max="2" width="22" customWidth="1"/>
    <col min="3" max="3" width="14" customWidth="1"/>
    <col min="4" max="4" width="11" customWidth="1"/>
    <col min="5" max="5" width="13" customWidth="1"/>
    <col min="6" max="6" width="16" customWidth="1"/>
    <col min="7" max="7" width="15" customWidth="1"/>
    <col min="8" max="8" width="13" customWidth="1"/>
    <col min="9" max="9" width="14" customWidth="1"/>
    <col min="10" max="10" width="12" customWidth="1"/>
  </cols>
  <sheetData>
    <row r="2" spans="2:10" ht="27.75" customHeight="1" x14ac:dyDescent="0.25">
      <c r="B2" s="58" t="s">
        <v>72</v>
      </c>
      <c r="C2" s="58"/>
      <c r="D2" s="58"/>
      <c r="E2" s="58"/>
      <c r="F2" s="58"/>
      <c r="G2" s="58"/>
      <c r="H2" s="58"/>
      <c r="I2" s="58"/>
      <c r="J2" s="58"/>
    </row>
    <row r="3" spans="2:10" ht="19.5" customHeight="1" x14ac:dyDescent="0.25">
      <c r="B3" s="57" t="s">
        <v>55</v>
      </c>
      <c r="C3" s="57"/>
      <c r="D3" s="57"/>
      <c r="E3" s="57"/>
      <c r="F3" s="57"/>
      <c r="G3" s="57"/>
      <c r="H3" s="57"/>
      <c r="I3" s="57"/>
      <c r="J3" s="57"/>
    </row>
    <row r="5" spans="2:10" ht="24" x14ac:dyDescent="0.25">
      <c r="B5" s="6" t="s">
        <v>38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61</v>
      </c>
      <c r="I5" s="6" t="s">
        <v>62</v>
      </c>
      <c r="J5" s="6" t="s">
        <v>63</v>
      </c>
    </row>
    <row r="6" spans="2:10" x14ac:dyDescent="0.25">
      <c r="B6" s="7"/>
      <c r="C6" s="13" t="str">
        <f>IF(B6="","",IFERROR(VLOOKUP(B6,'Cadastro de Produtos'!$B:$C,2,0),""))</f>
        <v/>
      </c>
      <c r="D6" s="9"/>
      <c r="E6" s="14"/>
      <c r="F6" s="7"/>
      <c r="G6" s="14"/>
      <c r="H6" s="15" t="str">
        <f t="shared" ref="H6:H37" si="0">IF(B6="","",IF(OR(E6="",G6="",G6=0),"",(E6-G6)/G6))</f>
        <v/>
      </c>
      <c r="I6" s="16" t="str">
        <f t="shared" ref="I6:I37" si="1">IF(B6="","",IF(D6="","",D6*E6))</f>
        <v/>
      </c>
      <c r="J6" s="8"/>
    </row>
    <row r="7" spans="2:10" x14ac:dyDescent="0.25">
      <c r="B7" s="10"/>
      <c r="C7" s="17" t="str">
        <f>IF(B7="","",IFERROR(VLOOKUP(B7,'Cadastro de Produtos'!$B:$C,2,0),""))</f>
        <v/>
      </c>
      <c r="D7" s="12"/>
      <c r="E7" s="18"/>
      <c r="F7" s="10"/>
      <c r="G7" s="18"/>
      <c r="H7" s="19" t="str">
        <f t="shared" si="0"/>
        <v/>
      </c>
      <c r="I7" s="20" t="str">
        <f t="shared" si="1"/>
        <v/>
      </c>
      <c r="J7" s="11"/>
    </row>
    <row r="8" spans="2:10" x14ac:dyDescent="0.25">
      <c r="B8" s="7"/>
      <c r="C8" s="13" t="str">
        <f>IF(B8="","",IFERROR(VLOOKUP(B8,'Cadastro de Produtos'!$B:$C,2,0),""))</f>
        <v/>
      </c>
      <c r="D8" s="9"/>
      <c r="E8" s="14"/>
      <c r="F8" s="7"/>
      <c r="G8" s="14"/>
      <c r="H8" s="15" t="str">
        <f t="shared" si="0"/>
        <v/>
      </c>
      <c r="I8" s="16" t="str">
        <f t="shared" si="1"/>
        <v/>
      </c>
      <c r="J8" s="8"/>
    </row>
    <row r="9" spans="2:10" x14ac:dyDescent="0.25">
      <c r="B9" s="10"/>
      <c r="C9" s="17" t="str">
        <f>IF(B9="","",IFERROR(VLOOKUP(B9,'Cadastro de Produtos'!$B:$C,2,0),""))</f>
        <v/>
      </c>
      <c r="D9" s="12"/>
      <c r="E9" s="18"/>
      <c r="F9" s="10"/>
      <c r="G9" s="18"/>
      <c r="H9" s="19" t="str">
        <f t="shared" si="0"/>
        <v/>
      </c>
      <c r="I9" s="20" t="str">
        <f t="shared" si="1"/>
        <v/>
      </c>
      <c r="J9" s="11"/>
    </row>
    <row r="10" spans="2:10" x14ac:dyDescent="0.25">
      <c r="B10" s="7"/>
      <c r="C10" s="13" t="str">
        <f>IF(B10="","",IFERROR(VLOOKUP(B10,'Cadastro de Produtos'!$B:$C,2,0),""))</f>
        <v/>
      </c>
      <c r="D10" s="9"/>
      <c r="E10" s="14"/>
      <c r="F10" s="7"/>
      <c r="G10" s="14"/>
      <c r="H10" s="15" t="str">
        <f t="shared" si="0"/>
        <v/>
      </c>
      <c r="I10" s="16" t="str">
        <f t="shared" si="1"/>
        <v/>
      </c>
      <c r="J10" s="8"/>
    </row>
    <row r="11" spans="2:10" x14ac:dyDescent="0.25">
      <c r="B11" s="10"/>
      <c r="C11" s="17" t="str">
        <f>IF(B11="","",IFERROR(VLOOKUP(B11,'Cadastro de Produtos'!$B:$C,2,0),""))</f>
        <v/>
      </c>
      <c r="D11" s="12"/>
      <c r="E11" s="18"/>
      <c r="F11" s="10"/>
      <c r="G11" s="18"/>
      <c r="H11" s="19" t="str">
        <f t="shared" si="0"/>
        <v/>
      </c>
      <c r="I11" s="20" t="str">
        <f t="shared" si="1"/>
        <v/>
      </c>
      <c r="J11" s="11"/>
    </row>
    <row r="12" spans="2:10" x14ac:dyDescent="0.25">
      <c r="B12" s="7"/>
      <c r="C12" s="13" t="str">
        <f>IF(B12="","",IFERROR(VLOOKUP(B12,'Cadastro de Produtos'!$B:$C,2,0),""))</f>
        <v/>
      </c>
      <c r="D12" s="9"/>
      <c r="E12" s="14"/>
      <c r="F12" s="7"/>
      <c r="G12" s="14"/>
      <c r="H12" s="15" t="str">
        <f t="shared" si="0"/>
        <v/>
      </c>
      <c r="I12" s="16" t="str">
        <f t="shared" si="1"/>
        <v/>
      </c>
      <c r="J12" s="8"/>
    </row>
    <row r="13" spans="2:10" x14ac:dyDescent="0.25">
      <c r="B13" s="10"/>
      <c r="C13" s="17" t="str">
        <f>IF(B13="","",IFERROR(VLOOKUP(B13,'Cadastro de Produtos'!$B:$C,2,0),""))</f>
        <v/>
      </c>
      <c r="D13" s="12"/>
      <c r="E13" s="18"/>
      <c r="F13" s="10"/>
      <c r="G13" s="18"/>
      <c r="H13" s="19" t="str">
        <f t="shared" si="0"/>
        <v/>
      </c>
      <c r="I13" s="20" t="str">
        <f t="shared" si="1"/>
        <v/>
      </c>
      <c r="J13" s="11"/>
    </row>
    <row r="14" spans="2:10" x14ac:dyDescent="0.25">
      <c r="B14" s="7"/>
      <c r="C14" s="13" t="str">
        <f>IF(B14="","",IFERROR(VLOOKUP(B14,'Cadastro de Produtos'!$B:$C,2,0),""))</f>
        <v/>
      </c>
      <c r="D14" s="9"/>
      <c r="E14" s="14"/>
      <c r="F14" s="7"/>
      <c r="G14" s="14"/>
      <c r="H14" s="15" t="str">
        <f t="shared" si="0"/>
        <v/>
      </c>
      <c r="I14" s="16" t="str">
        <f t="shared" si="1"/>
        <v/>
      </c>
      <c r="J14" s="8"/>
    </row>
    <row r="15" spans="2:10" x14ac:dyDescent="0.25">
      <c r="B15" s="10"/>
      <c r="C15" s="17" t="str">
        <f>IF(B15="","",IFERROR(VLOOKUP(B15,'Cadastro de Produtos'!$B:$C,2,0),""))</f>
        <v/>
      </c>
      <c r="D15" s="12"/>
      <c r="E15" s="18"/>
      <c r="F15" s="10"/>
      <c r="G15" s="18"/>
      <c r="H15" s="19" t="str">
        <f t="shared" si="0"/>
        <v/>
      </c>
      <c r="I15" s="20" t="str">
        <f t="shared" si="1"/>
        <v/>
      </c>
      <c r="J15" s="11"/>
    </row>
    <row r="16" spans="2:10" x14ac:dyDescent="0.25">
      <c r="B16" s="7"/>
      <c r="C16" s="13" t="str">
        <f>IF(B16="","",IFERROR(VLOOKUP(B16,'Cadastro de Produtos'!$B:$C,2,0),""))</f>
        <v/>
      </c>
      <c r="D16" s="9"/>
      <c r="E16" s="14"/>
      <c r="F16" s="7"/>
      <c r="G16" s="14"/>
      <c r="H16" s="15" t="str">
        <f t="shared" si="0"/>
        <v/>
      </c>
      <c r="I16" s="16" t="str">
        <f t="shared" si="1"/>
        <v/>
      </c>
      <c r="J16" s="8"/>
    </row>
    <row r="17" spans="2:10" x14ac:dyDescent="0.25">
      <c r="B17" s="10"/>
      <c r="C17" s="17" t="str">
        <f>IF(B17="","",IFERROR(VLOOKUP(B17,'Cadastro de Produtos'!$B:$C,2,0),""))</f>
        <v/>
      </c>
      <c r="D17" s="12"/>
      <c r="E17" s="18"/>
      <c r="F17" s="10"/>
      <c r="G17" s="18"/>
      <c r="H17" s="19" t="str">
        <f t="shared" si="0"/>
        <v/>
      </c>
      <c r="I17" s="20" t="str">
        <f t="shared" si="1"/>
        <v/>
      </c>
      <c r="J17" s="11"/>
    </row>
    <row r="18" spans="2:10" x14ac:dyDescent="0.25">
      <c r="B18" s="7"/>
      <c r="C18" s="13" t="str">
        <f>IF(B18="","",IFERROR(VLOOKUP(B18,'Cadastro de Produtos'!$B:$C,2,0),""))</f>
        <v/>
      </c>
      <c r="D18" s="9"/>
      <c r="E18" s="14"/>
      <c r="F18" s="7"/>
      <c r="G18" s="14"/>
      <c r="H18" s="15" t="str">
        <f t="shared" si="0"/>
        <v/>
      </c>
      <c r="I18" s="16" t="str">
        <f t="shared" si="1"/>
        <v/>
      </c>
      <c r="J18" s="8"/>
    </row>
    <row r="19" spans="2:10" x14ac:dyDescent="0.25">
      <c r="B19" s="10"/>
      <c r="C19" s="17" t="str">
        <f>IF(B19="","",IFERROR(VLOOKUP(B19,'Cadastro de Produtos'!$B:$C,2,0),""))</f>
        <v/>
      </c>
      <c r="D19" s="12"/>
      <c r="E19" s="18"/>
      <c r="F19" s="10"/>
      <c r="G19" s="18"/>
      <c r="H19" s="19" t="str">
        <f t="shared" si="0"/>
        <v/>
      </c>
      <c r="I19" s="20" t="str">
        <f t="shared" si="1"/>
        <v/>
      </c>
      <c r="J19" s="11"/>
    </row>
    <row r="20" spans="2:10" x14ac:dyDescent="0.25">
      <c r="B20" s="7"/>
      <c r="C20" s="13" t="str">
        <f>IF(B20="","",IFERROR(VLOOKUP(B20,'Cadastro de Produtos'!$B:$C,2,0),""))</f>
        <v/>
      </c>
      <c r="D20" s="9"/>
      <c r="E20" s="14"/>
      <c r="F20" s="7"/>
      <c r="G20" s="14"/>
      <c r="H20" s="15" t="str">
        <f t="shared" si="0"/>
        <v/>
      </c>
      <c r="I20" s="16" t="str">
        <f t="shared" si="1"/>
        <v/>
      </c>
      <c r="J20" s="8"/>
    </row>
    <row r="21" spans="2:10" x14ac:dyDescent="0.25">
      <c r="B21" s="10"/>
      <c r="C21" s="17" t="str">
        <f>IF(B21="","",IFERROR(VLOOKUP(B21,'Cadastro de Produtos'!$B:$C,2,0),""))</f>
        <v/>
      </c>
      <c r="D21" s="12"/>
      <c r="E21" s="18"/>
      <c r="F21" s="10"/>
      <c r="G21" s="18"/>
      <c r="H21" s="19" t="str">
        <f t="shared" si="0"/>
        <v/>
      </c>
      <c r="I21" s="20" t="str">
        <f t="shared" si="1"/>
        <v/>
      </c>
      <c r="J21" s="11"/>
    </row>
    <row r="22" spans="2:10" x14ac:dyDescent="0.25">
      <c r="B22" s="7"/>
      <c r="C22" s="13" t="str">
        <f>IF(B22="","",IFERROR(VLOOKUP(B22,'Cadastro de Produtos'!$B:$C,2,0),""))</f>
        <v/>
      </c>
      <c r="D22" s="9"/>
      <c r="E22" s="14"/>
      <c r="F22" s="7"/>
      <c r="G22" s="14"/>
      <c r="H22" s="15" t="str">
        <f t="shared" si="0"/>
        <v/>
      </c>
      <c r="I22" s="16" t="str">
        <f t="shared" si="1"/>
        <v/>
      </c>
      <c r="J22" s="8"/>
    </row>
    <row r="23" spans="2:10" x14ac:dyDescent="0.25">
      <c r="B23" s="10"/>
      <c r="C23" s="17" t="str">
        <f>IF(B23="","",IFERROR(VLOOKUP(B23,'Cadastro de Produtos'!$B:$C,2,0),""))</f>
        <v/>
      </c>
      <c r="D23" s="12"/>
      <c r="E23" s="18"/>
      <c r="F23" s="10"/>
      <c r="G23" s="18"/>
      <c r="H23" s="19" t="str">
        <f t="shared" si="0"/>
        <v/>
      </c>
      <c r="I23" s="20" t="str">
        <f t="shared" si="1"/>
        <v/>
      </c>
      <c r="J23" s="11"/>
    </row>
    <row r="24" spans="2:10" x14ac:dyDescent="0.25">
      <c r="B24" s="7"/>
      <c r="C24" s="13" t="str">
        <f>IF(B24="","",IFERROR(VLOOKUP(B24,'Cadastro de Produtos'!$B:$C,2,0),""))</f>
        <v/>
      </c>
      <c r="D24" s="9"/>
      <c r="E24" s="14"/>
      <c r="F24" s="7"/>
      <c r="G24" s="14"/>
      <c r="H24" s="15" t="str">
        <f t="shared" si="0"/>
        <v/>
      </c>
      <c r="I24" s="16" t="str">
        <f t="shared" si="1"/>
        <v/>
      </c>
      <c r="J24" s="8"/>
    </row>
    <row r="25" spans="2:10" x14ac:dyDescent="0.25">
      <c r="B25" s="10"/>
      <c r="C25" s="17" t="str">
        <f>IF(B25="","",IFERROR(VLOOKUP(B25,'Cadastro de Produtos'!$B:$C,2,0),""))</f>
        <v/>
      </c>
      <c r="D25" s="12"/>
      <c r="E25" s="18"/>
      <c r="F25" s="10"/>
      <c r="G25" s="18"/>
      <c r="H25" s="19" t="str">
        <f t="shared" si="0"/>
        <v/>
      </c>
      <c r="I25" s="20" t="str">
        <f t="shared" si="1"/>
        <v/>
      </c>
      <c r="J25" s="11"/>
    </row>
    <row r="26" spans="2:10" x14ac:dyDescent="0.25">
      <c r="B26" s="7"/>
      <c r="C26" s="13" t="str">
        <f>IF(B26="","",IFERROR(VLOOKUP(B26,'Cadastro de Produtos'!$B:$C,2,0),""))</f>
        <v/>
      </c>
      <c r="D26" s="9"/>
      <c r="E26" s="14"/>
      <c r="F26" s="7"/>
      <c r="G26" s="14"/>
      <c r="H26" s="15" t="str">
        <f t="shared" si="0"/>
        <v/>
      </c>
      <c r="I26" s="16" t="str">
        <f t="shared" si="1"/>
        <v/>
      </c>
      <c r="J26" s="8"/>
    </row>
    <row r="27" spans="2:10" x14ac:dyDescent="0.25">
      <c r="B27" s="10"/>
      <c r="C27" s="17" t="str">
        <f>IF(B27="","",IFERROR(VLOOKUP(B27,'Cadastro de Produtos'!$B:$C,2,0),""))</f>
        <v/>
      </c>
      <c r="D27" s="12"/>
      <c r="E27" s="18"/>
      <c r="F27" s="10"/>
      <c r="G27" s="18"/>
      <c r="H27" s="19" t="str">
        <f t="shared" si="0"/>
        <v/>
      </c>
      <c r="I27" s="20" t="str">
        <f t="shared" si="1"/>
        <v/>
      </c>
      <c r="J27" s="11"/>
    </row>
    <row r="28" spans="2:10" x14ac:dyDescent="0.25">
      <c r="B28" s="7"/>
      <c r="C28" s="13" t="str">
        <f>IF(B28="","",IFERROR(VLOOKUP(B28,'Cadastro de Produtos'!$B:$C,2,0),""))</f>
        <v/>
      </c>
      <c r="D28" s="9"/>
      <c r="E28" s="14"/>
      <c r="F28" s="7"/>
      <c r="G28" s="14"/>
      <c r="H28" s="15" t="str">
        <f t="shared" si="0"/>
        <v/>
      </c>
      <c r="I28" s="16" t="str">
        <f t="shared" si="1"/>
        <v/>
      </c>
      <c r="J28" s="8"/>
    </row>
    <row r="29" spans="2:10" x14ac:dyDescent="0.25">
      <c r="B29" s="10"/>
      <c r="C29" s="17" t="str">
        <f>IF(B29="","",IFERROR(VLOOKUP(B29,'Cadastro de Produtos'!$B:$C,2,0),""))</f>
        <v/>
      </c>
      <c r="D29" s="12"/>
      <c r="E29" s="18"/>
      <c r="F29" s="10"/>
      <c r="G29" s="18"/>
      <c r="H29" s="19" t="str">
        <f t="shared" si="0"/>
        <v/>
      </c>
      <c r="I29" s="20" t="str">
        <f t="shared" si="1"/>
        <v/>
      </c>
      <c r="J29" s="11"/>
    </row>
    <row r="30" spans="2:10" x14ac:dyDescent="0.25">
      <c r="B30" s="7"/>
      <c r="C30" s="13" t="str">
        <f>IF(B30="","",IFERROR(VLOOKUP(B30,'Cadastro de Produtos'!$B:$C,2,0),""))</f>
        <v/>
      </c>
      <c r="D30" s="9"/>
      <c r="E30" s="14"/>
      <c r="F30" s="7"/>
      <c r="G30" s="14"/>
      <c r="H30" s="15" t="str">
        <f t="shared" si="0"/>
        <v/>
      </c>
      <c r="I30" s="16" t="str">
        <f t="shared" si="1"/>
        <v/>
      </c>
      <c r="J30" s="8"/>
    </row>
    <row r="31" spans="2:10" x14ac:dyDescent="0.25">
      <c r="B31" s="10"/>
      <c r="C31" s="17" t="str">
        <f>IF(B31="","",IFERROR(VLOOKUP(B31,'Cadastro de Produtos'!$B:$C,2,0),""))</f>
        <v/>
      </c>
      <c r="D31" s="12"/>
      <c r="E31" s="18"/>
      <c r="F31" s="10"/>
      <c r="G31" s="18"/>
      <c r="H31" s="19" t="str">
        <f t="shared" si="0"/>
        <v/>
      </c>
      <c r="I31" s="20" t="str">
        <f t="shared" si="1"/>
        <v/>
      </c>
      <c r="J31" s="11"/>
    </row>
    <row r="32" spans="2:10" x14ac:dyDescent="0.25">
      <c r="B32" s="7"/>
      <c r="C32" s="13" t="str">
        <f>IF(B32="","",IFERROR(VLOOKUP(B32,'Cadastro de Produtos'!$B:$C,2,0),""))</f>
        <v/>
      </c>
      <c r="D32" s="9"/>
      <c r="E32" s="14"/>
      <c r="F32" s="7"/>
      <c r="G32" s="14"/>
      <c r="H32" s="15" t="str">
        <f t="shared" si="0"/>
        <v/>
      </c>
      <c r="I32" s="16" t="str">
        <f t="shared" si="1"/>
        <v/>
      </c>
      <c r="J32" s="8"/>
    </row>
    <row r="33" spans="2:10" x14ac:dyDescent="0.25">
      <c r="B33" s="10"/>
      <c r="C33" s="17" t="str">
        <f>IF(B33="","",IFERROR(VLOOKUP(B33,'Cadastro de Produtos'!$B:$C,2,0),""))</f>
        <v/>
      </c>
      <c r="D33" s="12"/>
      <c r="E33" s="18"/>
      <c r="F33" s="10"/>
      <c r="G33" s="18"/>
      <c r="H33" s="19" t="str">
        <f t="shared" si="0"/>
        <v/>
      </c>
      <c r="I33" s="20" t="str">
        <f t="shared" si="1"/>
        <v/>
      </c>
      <c r="J33" s="11"/>
    </row>
    <row r="34" spans="2:10" x14ac:dyDescent="0.25">
      <c r="B34" s="7"/>
      <c r="C34" s="13" t="str">
        <f>IF(B34="","",IFERROR(VLOOKUP(B34,'Cadastro de Produtos'!$B:$C,2,0),""))</f>
        <v/>
      </c>
      <c r="D34" s="9"/>
      <c r="E34" s="14"/>
      <c r="F34" s="7"/>
      <c r="G34" s="14"/>
      <c r="H34" s="15" t="str">
        <f t="shared" si="0"/>
        <v/>
      </c>
      <c r="I34" s="16" t="str">
        <f t="shared" si="1"/>
        <v/>
      </c>
      <c r="J34" s="8"/>
    </row>
    <row r="35" spans="2:10" x14ac:dyDescent="0.25">
      <c r="B35" s="10"/>
      <c r="C35" s="17" t="str">
        <f>IF(B35="","",IFERROR(VLOOKUP(B35,'Cadastro de Produtos'!$B:$C,2,0),""))</f>
        <v/>
      </c>
      <c r="D35" s="12"/>
      <c r="E35" s="18"/>
      <c r="F35" s="10"/>
      <c r="G35" s="18"/>
      <c r="H35" s="19" t="str">
        <f t="shared" si="0"/>
        <v/>
      </c>
      <c r="I35" s="20" t="str">
        <f t="shared" si="1"/>
        <v/>
      </c>
      <c r="J35" s="11"/>
    </row>
    <row r="36" spans="2:10" x14ac:dyDescent="0.25">
      <c r="B36" s="7"/>
      <c r="C36" s="13" t="str">
        <f>IF(B36="","",IFERROR(VLOOKUP(B36,'Cadastro de Produtos'!$B:$C,2,0),""))</f>
        <v/>
      </c>
      <c r="D36" s="9"/>
      <c r="E36" s="14"/>
      <c r="F36" s="7"/>
      <c r="G36" s="14"/>
      <c r="H36" s="15" t="str">
        <f t="shared" si="0"/>
        <v/>
      </c>
      <c r="I36" s="16" t="str">
        <f t="shared" si="1"/>
        <v/>
      </c>
      <c r="J36" s="8"/>
    </row>
    <row r="37" spans="2:10" x14ac:dyDescent="0.25">
      <c r="B37" s="10"/>
      <c r="C37" s="17" t="str">
        <f>IF(B37="","",IFERROR(VLOOKUP(B37,'Cadastro de Produtos'!$B:$C,2,0),""))</f>
        <v/>
      </c>
      <c r="D37" s="12"/>
      <c r="E37" s="18"/>
      <c r="F37" s="10"/>
      <c r="G37" s="18"/>
      <c r="H37" s="19" t="str">
        <f t="shared" si="0"/>
        <v/>
      </c>
      <c r="I37" s="20" t="str">
        <f t="shared" si="1"/>
        <v/>
      </c>
      <c r="J37" s="11"/>
    </row>
    <row r="38" spans="2:10" x14ac:dyDescent="0.25">
      <c r="B38" s="7"/>
      <c r="C38" s="13" t="str">
        <f>IF(B38="","",IFERROR(VLOOKUP(B38,'Cadastro de Produtos'!$B:$C,2,0),""))</f>
        <v/>
      </c>
      <c r="D38" s="9"/>
      <c r="E38" s="14"/>
      <c r="F38" s="7"/>
      <c r="G38" s="14"/>
      <c r="H38" s="15" t="str">
        <f t="shared" ref="H38:H65" si="2">IF(B38="","",IF(OR(E38="",G38="",G38=0),"",(E38-G38)/G38))</f>
        <v/>
      </c>
      <c r="I38" s="16" t="str">
        <f t="shared" ref="I38:I65" si="3">IF(B38="","",IF(D38="","",D38*E38))</f>
        <v/>
      </c>
      <c r="J38" s="8"/>
    </row>
    <row r="39" spans="2:10" x14ac:dyDescent="0.25">
      <c r="B39" s="10"/>
      <c r="C39" s="17" t="str">
        <f>IF(B39="","",IFERROR(VLOOKUP(B39,'Cadastro de Produtos'!$B:$C,2,0),""))</f>
        <v/>
      </c>
      <c r="D39" s="12"/>
      <c r="E39" s="18"/>
      <c r="F39" s="10"/>
      <c r="G39" s="18"/>
      <c r="H39" s="19" t="str">
        <f t="shared" si="2"/>
        <v/>
      </c>
      <c r="I39" s="20" t="str">
        <f t="shared" si="3"/>
        <v/>
      </c>
      <c r="J39" s="11"/>
    </row>
    <row r="40" spans="2:10" x14ac:dyDescent="0.25">
      <c r="B40" s="7"/>
      <c r="C40" s="13" t="str">
        <f>IF(B40="","",IFERROR(VLOOKUP(B40,'Cadastro de Produtos'!$B:$C,2,0),""))</f>
        <v/>
      </c>
      <c r="D40" s="9"/>
      <c r="E40" s="14"/>
      <c r="F40" s="7"/>
      <c r="G40" s="14"/>
      <c r="H40" s="15" t="str">
        <f t="shared" si="2"/>
        <v/>
      </c>
      <c r="I40" s="16" t="str">
        <f t="shared" si="3"/>
        <v/>
      </c>
      <c r="J40" s="8"/>
    </row>
    <row r="41" spans="2:10" x14ac:dyDescent="0.25">
      <c r="B41" s="10"/>
      <c r="C41" s="17" t="str">
        <f>IF(B41="","",IFERROR(VLOOKUP(B41,'Cadastro de Produtos'!$B:$C,2,0),""))</f>
        <v/>
      </c>
      <c r="D41" s="12"/>
      <c r="E41" s="18"/>
      <c r="F41" s="10"/>
      <c r="G41" s="18"/>
      <c r="H41" s="19" t="str">
        <f t="shared" si="2"/>
        <v/>
      </c>
      <c r="I41" s="20" t="str">
        <f t="shared" si="3"/>
        <v/>
      </c>
      <c r="J41" s="11"/>
    </row>
    <row r="42" spans="2:10" x14ac:dyDescent="0.25">
      <c r="B42" s="7"/>
      <c r="C42" s="13" t="str">
        <f>IF(B42="","",IFERROR(VLOOKUP(B42,'Cadastro de Produtos'!$B:$C,2,0),""))</f>
        <v/>
      </c>
      <c r="D42" s="9"/>
      <c r="E42" s="14"/>
      <c r="F42" s="7"/>
      <c r="G42" s="14"/>
      <c r="H42" s="15" t="str">
        <f t="shared" si="2"/>
        <v/>
      </c>
      <c r="I42" s="16" t="str">
        <f t="shared" si="3"/>
        <v/>
      </c>
      <c r="J42" s="8"/>
    </row>
    <row r="43" spans="2:10" x14ac:dyDescent="0.25">
      <c r="B43" s="10"/>
      <c r="C43" s="17" t="str">
        <f>IF(B43="","",IFERROR(VLOOKUP(B43,'Cadastro de Produtos'!$B:$C,2,0),""))</f>
        <v/>
      </c>
      <c r="D43" s="12"/>
      <c r="E43" s="18"/>
      <c r="F43" s="10"/>
      <c r="G43" s="18"/>
      <c r="H43" s="19" t="str">
        <f t="shared" si="2"/>
        <v/>
      </c>
      <c r="I43" s="20" t="str">
        <f t="shared" si="3"/>
        <v/>
      </c>
      <c r="J43" s="11"/>
    </row>
    <row r="44" spans="2:10" x14ac:dyDescent="0.25">
      <c r="B44" s="7"/>
      <c r="C44" s="13" t="str">
        <f>IF(B44="","",IFERROR(VLOOKUP(B44,'Cadastro de Produtos'!$B:$C,2,0),""))</f>
        <v/>
      </c>
      <c r="D44" s="9"/>
      <c r="E44" s="14"/>
      <c r="F44" s="7"/>
      <c r="G44" s="14"/>
      <c r="H44" s="15" t="str">
        <f t="shared" si="2"/>
        <v/>
      </c>
      <c r="I44" s="16" t="str">
        <f t="shared" si="3"/>
        <v/>
      </c>
      <c r="J44" s="8"/>
    </row>
    <row r="45" spans="2:10" x14ac:dyDescent="0.25">
      <c r="B45" s="10"/>
      <c r="C45" s="17" t="str">
        <f>IF(B45="","",IFERROR(VLOOKUP(B45,'Cadastro de Produtos'!$B:$C,2,0),""))</f>
        <v/>
      </c>
      <c r="D45" s="12"/>
      <c r="E45" s="18"/>
      <c r="F45" s="10"/>
      <c r="G45" s="18"/>
      <c r="H45" s="19" t="str">
        <f t="shared" si="2"/>
        <v/>
      </c>
      <c r="I45" s="20" t="str">
        <f t="shared" si="3"/>
        <v/>
      </c>
      <c r="J45" s="11"/>
    </row>
    <row r="46" spans="2:10" x14ac:dyDescent="0.25">
      <c r="B46" s="7"/>
      <c r="C46" s="13" t="str">
        <f>IF(B46="","",IFERROR(VLOOKUP(B46,'Cadastro de Produtos'!$B:$C,2,0),""))</f>
        <v/>
      </c>
      <c r="D46" s="9"/>
      <c r="E46" s="14"/>
      <c r="F46" s="7"/>
      <c r="G46" s="14"/>
      <c r="H46" s="15" t="str">
        <f t="shared" si="2"/>
        <v/>
      </c>
      <c r="I46" s="16" t="str">
        <f t="shared" si="3"/>
        <v/>
      </c>
      <c r="J46" s="8"/>
    </row>
    <row r="47" spans="2:10" x14ac:dyDescent="0.25">
      <c r="B47" s="10"/>
      <c r="C47" s="17" t="str">
        <f>IF(B47="","",IFERROR(VLOOKUP(B47,'Cadastro de Produtos'!$B:$C,2,0),""))</f>
        <v/>
      </c>
      <c r="D47" s="12"/>
      <c r="E47" s="18"/>
      <c r="F47" s="10"/>
      <c r="G47" s="18"/>
      <c r="H47" s="19" t="str">
        <f t="shared" si="2"/>
        <v/>
      </c>
      <c r="I47" s="20" t="str">
        <f t="shared" si="3"/>
        <v/>
      </c>
      <c r="J47" s="11"/>
    </row>
    <row r="48" spans="2:10" x14ac:dyDescent="0.25">
      <c r="B48" s="7"/>
      <c r="C48" s="13" t="str">
        <f>IF(B48="","",IFERROR(VLOOKUP(B48,'Cadastro de Produtos'!$B:$C,2,0),""))</f>
        <v/>
      </c>
      <c r="D48" s="9"/>
      <c r="E48" s="14"/>
      <c r="F48" s="7"/>
      <c r="G48" s="14"/>
      <c r="H48" s="15" t="str">
        <f t="shared" si="2"/>
        <v/>
      </c>
      <c r="I48" s="16" t="str">
        <f t="shared" si="3"/>
        <v/>
      </c>
      <c r="J48" s="8"/>
    </row>
    <row r="49" spans="2:10" x14ac:dyDescent="0.25">
      <c r="B49" s="10"/>
      <c r="C49" s="17" t="str">
        <f>IF(B49="","",IFERROR(VLOOKUP(B49,'Cadastro de Produtos'!$B:$C,2,0),""))</f>
        <v/>
      </c>
      <c r="D49" s="12"/>
      <c r="E49" s="18"/>
      <c r="F49" s="10"/>
      <c r="G49" s="18"/>
      <c r="H49" s="19" t="str">
        <f t="shared" si="2"/>
        <v/>
      </c>
      <c r="I49" s="20" t="str">
        <f t="shared" si="3"/>
        <v/>
      </c>
      <c r="J49" s="11"/>
    </row>
    <row r="50" spans="2:10" x14ac:dyDescent="0.25">
      <c r="B50" s="7"/>
      <c r="C50" s="13" t="str">
        <f>IF(B50="","",IFERROR(VLOOKUP(B50,'Cadastro de Produtos'!$B:$C,2,0),""))</f>
        <v/>
      </c>
      <c r="D50" s="9"/>
      <c r="E50" s="14"/>
      <c r="F50" s="7"/>
      <c r="G50" s="14"/>
      <c r="H50" s="15" t="str">
        <f t="shared" si="2"/>
        <v/>
      </c>
      <c r="I50" s="16" t="str">
        <f t="shared" si="3"/>
        <v/>
      </c>
      <c r="J50" s="8"/>
    </row>
    <row r="51" spans="2:10" x14ac:dyDescent="0.25">
      <c r="B51" s="10"/>
      <c r="C51" s="17" t="str">
        <f>IF(B51="","",IFERROR(VLOOKUP(B51,'Cadastro de Produtos'!$B:$C,2,0),""))</f>
        <v/>
      </c>
      <c r="D51" s="12"/>
      <c r="E51" s="18"/>
      <c r="F51" s="10"/>
      <c r="G51" s="18"/>
      <c r="H51" s="19" t="str">
        <f t="shared" si="2"/>
        <v/>
      </c>
      <c r="I51" s="20" t="str">
        <f t="shared" si="3"/>
        <v/>
      </c>
      <c r="J51" s="11"/>
    </row>
    <row r="52" spans="2:10" x14ac:dyDescent="0.25">
      <c r="B52" s="7"/>
      <c r="C52" s="13" t="str">
        <f>IF(B52="","",IFERROR(VLOOKUP(B52,'Cadastro de Produtos'!$B:$C,2,0),""))</f>
        <v/>
      </c>
      <c r="D52" s="9"/>
      <c r="E52" s="14"/>
      <c r="F52" s="7"/>
      <c r="G52" s="14"/>
      <c r="H52" s="15" t="str">
        <f t="shared" si="2"/>
        <v/>
      </c>
      <c r="I52" s="16" t="str">
        <f t="shared" si="3"/>
        <v/>
      </c>
      <c r="J52" s="8"/>
    </row>
    <row r="53" spans="2:10" x14ac:dyDescent="0.25">
      <c r="B53" s="10"/>
      <c r="C53" s="17" t="str">
        <f>IF(B53="","",IFERROR(VLOOKUP(B53,'Cadastro de Produtos'!$B:$C,2,0),""))</f>
        <v/>
      </c>
      <c r="D53" s="12"/>
      <c r="E53" s="18"/>
      <c r="F53" s="10"/>
      <c r="G53" s="18"/>
      <c r="H53" s="19" t="str">
        <f t="shared" si="2"/>
        <v/>
      </c>
      <c r="I53" s="20" t="str">
        <f t="shared" si="3"/>
        <v/>
      </c>
      <c r="J53" s="11"/>
    </row>
    <row r="54" spans="2:10" x14ac:dyDescent="0.25">
      <c r="B54" s="7"/>
      <c r="C54" s="13" t="str">
        <f>IF(B54="","",IFERROR(VLOOKUP(B54,'Cadastro de Produtos'!$B:$C,2,0),""))</f>
        <v/>
      </c>
      <c r="D54" s="9"/>
      <c r="E54" s="14"/>
      <c r="F54" s="7"/>
      <c r="G54" s="14"/>
      <c r="H54" s="15" t="str">
        <f t="shared" si="2"/>
        <v/>
      </c>
      <c r="I54" s="16" t="str">
        <f t="shared" si="3"/>
        <v/>
      </c>
      <c r="J54" s="8"/>
    </row>
    <row r="55" spans="2:10" x14ac:dyDescent="0.25">
      <c r="B55" s="10"/>
      <c r="C55" s="17" t="str">
        <f>IF(B55="","",IFERROR(VLOOKUP(B55,'Cadastro de Produtos'!$B:$C,2,0),""))</f>
        <v/>
      </c>
      <c r="D55" s="12"/>
      <c r="E55" s="18"/>
      <c r="F55" s="10"/>
      <c r="G55" s="18"/>
      <c r="H55" s="19" t="str">
        <f t="shared" si="2"/>
        <v/>
      </c>
      <c r="I55" s="20" t="str">
        <f t="shared" si="3"/>
        <v/>
      </c>
      <c r="J55" s="11"/>
    </row>
    <row r="56" spans="2:10" x14ac:dyDescent="0.25">
      <c r="B56" s="7"/>
      <c r="C56" s="13" t="str">
        <f>IF(B56="","",IFERROR(VLOOKUP(B56,'Cadastro de Produtos'!$B:$C,2,0),""))</f>
        <v/>
      </c>
      <c r="D56" s="9"/>
      <c r="E56" s="14"/>
      <c r="F56" s="7"/>
      <c r="G56" s="14"/>
      <c r="H56" s="15" t="str">
        <f t="shared" si="2"/>
        <v/>
      </c>
      <c r="I56" s="16" t="str">
        <f t="shared" si="3"/>
        <v/>
      </c>
      <c r="J56" s="8"/>
    </row>
    <row r="57" spans="2:10" x14ac:dyDescent="0.25">
      <c r="B57" s="10"/>
      <c r="C57" s="17" t="str">
        <f>IF(B57="","",IFERROR(VLOOKUP(B57,'Cadastro de Produtos'!$B:$C,2,0),""))</f>
        <v/>
      </c>
      <c r="D57" s="12"/>
      <c r="E57" s="18"/>
      <c r="F57" s="10"/>
      <c r="G57" s="18"/>
      <c r="H57" s="19" t="str">
        <f t="shared" si="2"/>
        <v/>
      </c>
      <c r="I57" s="20" t="str">
        <f t="shared" si="3"/>
        <v/>
      </c>
      <c r="J57" s="11"/>
    </row>
    <row r="58" spans="2:10" x14ac:dyDescent="0.25">
      <c r="B58" s="7"/>
      <c r="C58" s="13" t="str">
        <f>IF(B58="","",IFERROR(VLOOKUP(B58,'Cadastro de Produtos'!$B:$C,2,0),""))</f>
        <v/>
      </c>
      <c r="D58" s="9"/>
      <c r="E58" s="14"/>
      <c r="F58" s="7"/>
      <c r="G58" s="14"/>
      <c r="H58" s="15" t="str">
        <f t="shared" si="2"/>
        <v/>
      </c>
      <c r="I58" s="16" t="str">
        <f t="shared" si="3"/>
        <v/>
      </c>
      <c r="J58" s="8"/>
    </row>
    <row r="59" spans="2:10" x14ac:dyDescent="0.25">
      <c r="B59" s="10"/>
      <c r="C59" s="17" t="str">
        <f>IF(B59="","",IFERROR(VLOOKUP(B59,'Cadastro de Produtos'!$B:$C,2,0),""))</f>
        <v/>
      </c>
      <c r="D59" s="12"/>
      <c r="E59" s="18"/>
      <c r="F59" s="10"/>
      <c r="G59" s="18"/>
      <c r="H59" s="19" t="str">
        <f t="shared" si="2"/>
        <v/>
      </c>
      <c r="I59" s="20" t="str">
        <f t="shared" si="3"/>
        <v/>
      </c>
      <c r="J59" s="11"/>
    </row>
    <row r="60" spans="2:10" x14ac:dyDescent="0.25">
      <c r="B60" s="7"/>
      <c r="C60" s="13" t="str">
        <f>IF(B60="","",IFERROR(VLOOKUP(B60,'Cadastro de Produtos'!$B:$C,2,0),""))</f>
        <v/>
      </c>
      <c r="D60" s="9"/>
      <c r="E60" s="14"/>
      <c r="F60" s="7"/>
      <c r="G60" s="14"/>
      <c r="H60" s="15" t="str">
        <f t="shared" si="2"/>
        <v/>
      </c>
      <c r="I60" s="16" t="str">
        <f t="shared" si="3"/>
        <v/>
      </c>
      <c r="J60" s="8"/>
    </row>
    <row r="61" spans="2:10" x14ac:dyDescent="0.25">
      <c r="B61" s="10"/>
      <c r="C61" s="17" t="str">
        <f>IF(B61="","",IFERROR(VLOOKUP(B61,'Cadastro de Produtos'!$B:$C,2,0),""))</f>
        <v/>
      </c>
      <c r="D61" s="12"/>
      <c r="E61" s="18"/>
      <c r="F61" s="10"/>
      <c r="G61" s="18"/>
      <c r="H61" s="19" t="str">
        <f t="shared" si="2"/>
        <v/>
      </c>
      <c r="I61" s="20" t="str">
        <f t="shared" si="3"/>
        <v/>
      </c>
      <c r="J61" s="11"/>
    </row>
    <row r="62" spans="2:10" x14ac:dyDescent="0.25">
      <c r="B62" s="7"/>
      <c r="C62" s="13" t="str">
        <f>IF(B62="","",IFERROR(VLOOKUP(B62,'Cadastro de Produtos'!$B:$C,2,0),""))</f>
        <v/>
      </c>
      <c r="D62" s="9"/>
      <c r="E62" s="14"/>
      <c r="F62" s="7"/>
      <c r="G62" s="14"/>
      <c r="H62" s="15" t="str">
        <f t="shared" si="2"/>
        <v/>
      </c>
      <c r="I62" s="16" t="str">
        <f t="shared" si="3"/>
        <v/>
      </c>
      <c r="J62" s="8"/>
    </row>
    <row r="63" spans="2:10" x14ac:dyDescent="0.25">
      <c r="B63" s="10"/>
      <c r="C63" s="17" t="str">
        <f>IF(B63="","",IFERROR(VLOOKUP(B63,'Cadastro de Produtos'!$B:$C,2,0),""))</f>
        <v/>
      </c>
      <c r="D63" s="12"/>
      <c r="E63" s="18"/>
      <c r="F63" s="10"/>
      <c r="G63" s="18"/>
      <c r="H63" s="19" t="str">
        <f t="shared" si="2"/>
        <v/>
      </c>
      <c r="I63" s="20" t="str">
        <f t="shared" si="3"/>
        <v/>
      </c>
      <c r="J63" s="11"/>
    </row>
    <row r="64" spans="2:10" x14ac:dyDescent="0.25">
      <c r="B64" s="7"/>
      <c r="C64" s="13" t="str">
        <f>IF(B64="","",IFERROR(VLOOKUP(B64,'Cadastro de Produtos'!$B:$C,2,0),""))</f>
        <v/>
      </c>
      <c r="D64" s="9"/>
      <c r="E64" s="14"/>
      <c r="F64" s="7"/>
      <c r="G64" s="14"/>
      <c r="H64" s="15" t="str">
        <f t="shared" si="2"/>
        <v/>
      </c>
      <c r="I64" s="16" t="str">
        <f t="shared" si="3"/>
        <v/>
      </c>
      <c r="J64" s="8"/>
    </row>
    <row r="65" spans="2:10" x14ac:dyDescent="0.25">
      <c r="B65" s="10"/>
      <c r="C65" s="17" t="str">
        <f>IF(B65="","",IFERROR(VLOOKUP(B65,'Cadastro de Produtos'!$B:$C,2,0),""))</f>
        <v/>
      </c>
      <c r="D65" s="12"/>
      <c r="E65" s="18"/>
      <c r="F65" s="10"/>
      <c r="G65" s="18"/>
      <c r="H65" s="19" t="str">
        <f t="shared" si="2"/>
        <v/>
      </c>
      <c r="I65" s="20" t="str">
        <f t="shared" si="3"/>
        <v/>
      </c>
      <c r="J65" s="11"/>
    </row>
  </sheetData>
  <sheetProtection sheet="1" autoFilter="0"/>
  <mergeCells count="2">
    <mergeCell ref="B2:J2"/>
    <mergeCell ref="B3:J3"/>
  </mergeCells>
  <conditionalFormatting sqref="B6:J65">
    <cfRule type="expression" dxfId="11" priority="2">
      <formula>$J6="✅ Sim"</formula>
    </cfRule>
    <cfRule type="expression" dxfId="10" priority="3">
      <formula>AND($H6&lt;&gt;"",$H6&gt;0)</formula>
    </cfRule>
    <cfRule type="expression" dxfId="9" priority="4">
      <formula>AND($H6&lt;&gt;"",$H6&lt;0)</formula>
    </cfRule>
  </conditionalFormatting>
  <dataValidations count="1">
    <dataValidation type="list" allowBlank="1" showErrorMessage="1" errorTitle="Opção inválida" error="Escolha uma opção da lista suspensa." sqref="J6:J65" xr:uid="{00000000-0002-0000-0B00-000002000000}">
      <formula1>"❌ Não,✅ Sim"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Produto inválido" error="Escolha um produto da lista suspensa. Se não aparece, cadastre-o primeiro na aba Cadastro de Produtos." xr:uid="{00000000-0002-0000-0B00-000000000000}">
          <x14:formula1>
            <xm:f>'Cadastro de Produtos'!$B$6:$B$65</xm:f>
          </x14:formula1>
          <x14:formula2>
            <xm:f>0</xm:f>
          </x14:formula2>
          <xm:sqref>B6:B65</xm:sqref>
        </x14:dataValidation>
        <x14:dataValidation type="list" allowBlank="1" showErrorMessage="1" errorTitle="Mercado inválido" error="Escolha um mercado da lista suspensa. Se não aparece, cadastre-o primeiro na aba Cadastro de Produtos." xr:uid="{00000000-0002-0000-0B00-000001000000}">
          <x14:formula1>
            <xm:f>'Cadastro de Produtos'!$F$6:$F$25</xm:f>
          </x14:formula1>
          <x14:formula2>
            <xm:f>0</xm:f>
          </x14:formula2>
          <xm:sqref>F6:F65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J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7109375" defaultRowHeight="15" x14ac:dyDescent="0.25"/>
  <cols>
    <col min="1" max="1" width="3" customWidth="1"/>
    <col min="2" max="2" width="22" customWidth="1"/>
    <col min="3" max="3" width="14" customWidth="1"/>
    <col min="4" max="4" width="11" customWidth="1"/>
    <col min="5" max="5" width="13" customWidth="1"/>
    <col min="6" max="6" width="16" customWidth="1"/>
    <col min="7" max="7" width="15" customWidth="1"/>
    <col min="8" max="8" width="13" customWidth="1"/>
    <col min="9" max="9" width="14" customWidth="1"/>
    <col min="10" max="10" width="12" customWidth="1"/>
  </cols>
  <sheetData>
    <row r="2" spans="2:10" ht="27.75" customHeight="1" x14ac:dyDescent="0.25">
      <c r="B2" s="58" t="s">
        <v>73</v>
      </c>
      <c r="C2" s="58"/>
      <c r="D2" s="58"/>
      <c r="E2" s="58"/>
      <c r="F2" s="58"/>
      <c r="G2" s="58"/>
      <c r="H2" s="58"/>
      <c r="I2" s="58"/>
      <c r="J2" s="58"/>
    </row>
    <row r="3" spans="2:10" ht="19.5" customHeight="1" x14ac:dyDescent="0.25">
      <c r="B3" s="57" t="s">
        <v>55</v>
      </c>
      <c r="C3" s="57"/>
      <c r="D3" s="57"/>
      <c r="E3" s="57"/>
      <c r="F3" s="57"/>
      <c r="G3" s="57"/>
      <c r="H3" s="57"/>
      <c r="I3" s="57"/>
      <c r="J3" s="57"/>
    </row>
    <row r="5" spans="2:10" ht="24" x14ac:dyDescent="0.25">
      <c r="B5" s="6" t="s">
        <v>38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61</v>
      </c>
      <c r="I5" s="6" t="s">
        <v>62</v>
      </c>
      <c r="J5" s="6" t="s">
        <v>63</v>
      </c>
    </row>
    <row r="6" spans="2:10" x14ac:dyDescent="0.25">
      <c r="B6" s="7"/>
      <c r="C6" s="13" t="str">
        <f>IF(B6="","",IFERROR(VLOOKUP(B6,'Cadastro de Produtos'!$B:$C,2,0),""))</f>
        <v/>
      </c>
      <c r="D6" s="9"/>
      <c r="E6" s="14"/>
      <c r="F6" s="7"/>
      <c r="G6" s="14"/>
      <c r="H6" s="15" t="str">
        <f t="shared" ref="H6:H37" si="0">IF(B6="","",IF(OR(E6="",G6="",G6=0),"",(E6-G6)/G6))</f>
        <v/>
      </c>
      <c r="I6" s="16" t="str">
        <f t="shared" ref="I6:I37" si="1">IF(B6="","",IF(D6="","",D6*E6))</f>
        <v/>
      </c>
      <c r="J6" s="8"/>
    </row>
    <row r="7" spans="2:10" x14ac:dyDescent="0.25">
      <c r="B7" s="10"/>
      <c r="C7" s="17" t="str">
        <f>IF(B7="","",IFERROR(VLOOKUP(B7,'Cadastro de Produtos'!$B:$C,2,0),""))</f>
        <v/>
      </c>
      <c r="D7" s="12"/>
      <c r="E7" s="18"/>
      <c r="F7" s="10"/>
      <c r="G7" s="18"/>
      <c r="H7" s="19" t="str">
        <f t="shared" si="0"/>
        <v/>
      </c>
      <c r="I7" s="20" t="str">
        <f t="shared" si="1"/>
        <v/>
      </c>
      <c r="J7" s="11"/>
    </row>
    <row r="8" spans="2:10" x14ac:dyDescent="0.25">
      <c r="B8" s="7"/>
      <c r="C8" s="13" t="str">
        <f>IF(B8="","",IFERROR(VLOOKUP(B8,'Cadastro de Produtos'!$B:$C,2,0),""))</f>
        <v/>
      </c>
      <c r="D8" s="9"/>
      <c r="E8" s="14"/>
      <c r="F8" s="7"/>
      <c r="G8" s="14"/>
      <c r="H8" s="15" t="str">
        <f t="shared" si="0"/>
        <v/>
      </c>
      <c r="I8" s="16" t="str">
        <f t="shared" si="1"/>
        <v/>
      </c>
      <c r="J8" s="8"/>
    </row>
    <row r="9" spans="2:10" x14ac:dyDescent="0.25">
      <c r="B9" s="10"/>
      <c r="C9" s="17" t="str">
        <f>IF(B9="","",IFERROR(VLOOKUP(B9,'Cadastro de Produtos'!$B:$C,2,0),""))</f>
        <v/>
      </c>
      <c r="D9" s="12"/>
      <c r="E9" s="18"/>
      <c r="F9" s="10"/>
      <c r="G9" s="18"/>
      <c r="H9" s="19" t="str">
        <f t="shared" si="0"/>
        <v/>
      </c>
      <c r="I9" s="20" t="str">
        <f t="shared" si="1"/>
        <v/>
      </c>
      <c r="J9" s="11"/>
    </row>
    <row r="10" spans="2:10" x14ac:dyDescent="0.25">
      <c r="B10" s="7"/>
      <c r="C10" s="13" t="str">
        <f>IF(B10="","",IFERROR(VLOOKUP(B10,'Cadastro de Produtos'!$B:$C,2,0),""))</f>
        <v/>
      </c>
      <c r="D10" s="9"/>
      <c r="E10" s="14"/>
      <c r="F10" s="7"/>
      <c r="G10" s="14"/>
      <c r="H10" s="15" t="str">
        <f t="shared" si="0"/>
        <v/>
      </c>
      <c r="I10" s="16" t="str">
        <f t="shared" si="1"/>
        <v/>
      </c>
      <c r="J10" s="8"/>
    </row>
    <row r="11" spans="2:10" x14ac:dyDescent="0.25">
      <c r="B11" s="10"/>
      <c r="C11" s="17" t="str">
        <f>IF(B11="","",IFERROR(VLOOKUP(B11,'Cadastro de Produtos'!$B:$C,2,0),""))</f>
        <v/>
      </c>
      <c r="D11" s="12"/>
      <c r="E11" s="18"/>
      <c r="F11" s="10"/>
      <c r="G11" s="18"/>
      <c r="H11" s="19" t="str">
        <f t="shared" si="0"/>
        <v/>
      </c>
      <c r="I11" s="20" t="str">
        <f t="shared" si="1"/>
        <v/>
      </c>
      <c r="J11" s="11"/>
    </row>
    <row r="12" spans="2:10" x14ac:dyDescent="0.25">
      <c r="B12" s="7"/>
      <c r="C12" s="13" t="str">
        <f>IF(B12="","",IFERROR(VLOOKUP(B12,'Cadastro de Produtos'!$B:$C,2,0),""))</f>
        <v/>
      </c>
      <c r="D12" s="9"/>
      <c r="E12" s="14"/>
      <c r="F12" s="7"/>
      <c r="G12" s="14"/>
      <c r="H12" s="15" t="str">
        <f t="shared" si="0"/>
        <v/>
      </c>
      <c r="I12" s="16" t="str">
        <f t="shared" si="1"/>
        <v/>
      </c>
      <c r="J12" s="8"/>
    </row>
    <row r="13" spans="2:10" x14ac:dyDescent="0.25">
      <c r="B13" s="10"/>
      <c r="C13" s="17" t="str">
        <f>IF(B13="","",IFERROR(VLOOKUP(B13,'Cadastro de Produtos'!$B:$C,2,0),""))</f>
        <v/>
      </c>
      <c r="D13" s="12"/>
      <c r="E13" s="18"/>
      <c r="F13" s="10"/>
      <c r="G13" s="18"/>
      <c r="H13" s="19" t="str">
        <f t="shared" si="0"/>
        <v/>
      </c>
      <c r="I13" s="20" t="str">
        <f t="shared" si="1"/>
        <v/>
      </c>
      <c r="J13" s="11"/>
    </row>
    <row r="14" spans="2:10" x14ac:dyDescent="0.25">
      <c r="B14" s="7"/>
      <c r="C14" s="13" t="str">
        <f>IF(B14="","",IFERROR(VLOOKUP(B14,'Cadastro de Produtos'!$B:$C,2,0),""))</f>
        <v/>
      </c>
      <c r="D14" s="9"/>
      <c r="E14" s="14"/>
      <c r="F14" s="7"/>
      <c r="G14" s="14"/>
      <c r="H14" s="15" t="str">
        <f t="shared" si="0"/>
        <v/>
      </c>
      <c r="I14" s="16" t="str">
        <f t="shared" si="1"/>
        <v/>
      </c>
      <c r="J14" s="8"/>
    </row>
    <row r="15" spans="2:10" x14ac:dyDescent="0.25">
      <c r="B15" s="10"/>
      <c r="C15" s="17" t="str">
        <f>IF(B15="","",IFERROR(VLOOKUP(B15,'Cadastro de Produtos'!$B:$C,2,0),""))</f>
        <v/>
      </c>
      <c r="D15" s="12"/>
      <c r="E15" s="18"/>
      <c r="F15" s="10"/>
      <c r="G15" s="18"/>
      <c r="H15" s="19" t="str">
        <f t="shared" si="0"/>
        <v/>
      </c>
      <c r="I15" s="20" t="str">
        <f t="shared" si="1"/>
        <v/>
      </c>
      <c r="J15" s="11"/>
    </row>
    <row r="16" spans="2:10" x14ac:dyDescent="0.25">
      <c r="B16" s="7"/>
      <c r="C16" s="13" t="str">
        <f>IF(B16="","",IFERROR(VLOOKUP(B16,'Cadastro de Produtos'!$B:$C,2,0),""))</f>
        <v/>
      </c>
      <c r="D16" s="9"/>
      <c r="E16" s="14"/>
      <c r="F16" s="7"/>
      <c r="G16" s="14"/>
      <c r="H16" s="15" t="str">
        <f t="shared" si="0"/>
        <v/>
      </c>
      <c r="I16" s="16" t="str">
        <f t="shared" si="1"/>
        <v/>
      </c>
      <c r="J16" s="8"/>
    </row>
    <row r="17" spans="2:10" x14ac:dyDescent="0.25">
      <c r="B17" s="10"/>
      <c r="C17" s="17" t="str">
        <f>IF(B17="","",IFERROR(VLOOKUP(B17,'Cadastro de Produtos'!$B:$C,2,0),""))</f>
        <v/>
      </c>
      <c r="D17" s="12"/>
      <c r="E17" s="18"/>
      <c r="F17" s="10"/>
      <c r="G17" s="18"/>
      <c r="H17" s="19" t="str">
        <f t="shared" si="0"/>
        <v/>
      </c>
      <c r="I17" s="20" t="str">
        <f t="shared" si="1"/>
        <v/>
      </c>
      <c r="J17" s="11"/>
    </row>
    <row r="18" spans="2:10" x14ac:dyDescent="0.25">
      <c r="B18" s="7"/>
      <c r="C18" s="13" t="str">
        <f>IF(B18="","",IFERROR(VLOOKUP(B18,'Cadastro de Produtos'!$B:$C,2,0),""))</f>
        <v/>
      </c>
      <c r="D18" s="9"/>
      <c r="E18" s="14"/>
      <c r="F18" s="7"/>
      <c r="G18" s="14"/>
      <c r="H18" s="15" t="str">
        <f t="shared" si="0"/>
        <v/>
      </c>
      <c r="I18" s="16" t="str">
        <f t="shared" si="1"/>
        <v/>
      </c>
      <c r="J18" s="8"/>
    </row>
    <row r="19" spans="2:10" x14ac:dyDescent="0.25">
      <c r="B19" s="10"/>
      <c r="C19" s="17" t="str">
        <f>IF(B19="","",IFERROR(VLOOKUP(B19,'Cadastro de Produtos'!$B:$C,2,0),""))</f>
        <v/>
      </c>
      <c r="D19" s="12"/>
      <c r="E19" s="18"/>
      <c r="F19" s="10"/>
      <c r="G19" s="18"/>
      <c r="H19" s="19" t="str">
        <f t="shared" si="0"/>
        <v/>
      </c>
      <c r="I19" s="20" t="str">
        <f t="shared" si="1"/>
        <v/>
      </c>
      <c r="J19" s="11"/>
    </row>
    <row r="20" spans="2:10" x14ac:dyDescent="0.25">
      <c r="B20" s="7"/>
      <c r="C20" s="13" t="str">
        <f>IF(B20="","",IFERROR(VLOOKUP(B20,'Cadastro de Produtos'!$B:$C,2,0),""))</f>
        <v/>
      </c>
      <c r="D20" s="9"/>
      <c r="E20" s="14"/>
      <c r="F20" s="7"/>
      <c r="G20" s="14"/>
      <c r="H20" s="15" t="str">
        <f t="shared" si="0"/>
        <v/>
      </c>
      <c r="I20" s="16" t="str">
        <f t="shared" si="1"/>
        <v/>
      </c>
      <c r="J20" s="8"/>
    </row>
    <row r="21" spans="2:10" x14ac:dyDescent="0.25">
      <c r="B21" s="10"/>
      <c r="C21" s="17" t="str">
        <f>IF(B21="","",IFERROR(VLOOKUP(B21,'Cadastro de Produtos'!$B:$C,2,0),""))</f>
        <v/>
      </c>
      <c r="D21" s="12"/>
      <c r="E21" s="18"/>
      <c r="F21" s="10"/>
      <c r="G21" s="18"/>
      <c r="H21" s="19" t="str">
        <f t="shared" si="0"/>
        <v/>
      </c>
      <c r="I21" s="20" t="str">
        <f t="shared" si="1"/>
        <v/>
      </c>
      <c r="J21" s="11"/>
    </row>
    <row r="22" spans="2:10" x14ac:dyDescent="0.25">
      <c r="B22" s="7"/>
      <c r="C22" s="13" t="str">
        <f>IF(B22="","",IFERROR(VLOOKUP(B22,'Cadastro de Produtos'!$B:$C,2,0),""))</f>
        <v/>
      </c>
      <c r="D22" s="9"/>
      <c r="E22" s="14"/>
      <c r="F22" s="7"/>
      <c r="G22" s="14"/>
      <c r="H22" s="15" t="str">
        <f t="shared" si="0"/>
        <v/>
      </c>
      <c r="I22" s="16" t="str">
        <f t="shared" si="1"/>
        <v/>
      </c>
      <c r="J22" s="8"/>
    </row>
    <row r="23" spans="2:10" x14ac:dyDescent="0.25">
      <c r="B23" s="10"/>
      <c r="C23" s="17" t="str">
        <f>IF(B23="","",IFERROR(VLOOKUP(B23,'Cadastro de Produtos'!$B:$C,2,0),""))</f>
        <v/>
      </c>
      <c r="D23" s="12"/>
      <c r="E23" s="18"/>
      <c r="F23" s="10"/>
      <c r="G23" s="18"/>
      <c r="H23" s="19" t="str">
        <f t="shared" si="0"/>
        <v/>
      </c>
      <c r="I23" s="20" t="str">
        <f t="shared" si="1"/>
        <v/>
      </c>
      <c r="J23" s="11"/>
    </row>
    <row r="24" spans="2:10" x14ac:dyDescent="0.25">
      <c r="B24" s="7"/>
      <c r="C24" s="13" t="str">
        <f>IF(B24="","",IFERROR(VLOOKUP(B24,'Cadastro de Produtos'!$B:$C,2,0),""))</f>
        <v/>
      </c>
      <c r="D24" s="9"/>
      <c r="E24" s="14"/>
      <c r="F24" s="7"/>
      <c r="G24" s="14"/>
      <c r="H24" s="15" t="str">
        <f t="shared" si="0"/>
        <v/>
      </c>
      <c r="I24" s="16" t="str">
        <f t="shared" si="1"/>
        <v/>
      </c>
      <c r="J24" s="8"/>
    </row>
    <row r="25" spans="2:10" x14ac:dyDescent="0.25">
      <c r="B25" s="10"/>
      <c r="C25" s="17" t="str">
        <f>IF(B25="","",IFERROR(VLOOKUP(B25,'Cadastro de Produtos'!$B:$C,2,0),""))</f>
        <v/>
      </c>
      <c r="D25" s="12"/>
      <c r="E25" s="18"/>
      <c r="F25" s="10"/>
      <c r="G25" s="18"/>
      <c r="H25" s="19" t="str">
        <f t="shared" si="0"/>
        <v/>
      </c>
      <c r="I25" s="20" t="str">
        <f t="shared" si="1"/>
        <v/>
      </c>
      <c r="J25" s="11"/>
    </row>
    <row r="26" spans="2:10" x14ac:dyDescent="0.25">
      <c r="B26" s="7"/>
      <c r="C26" s="13" t="str">
        <f>IF(B26="","",IFERROR(VLOOKUP(B26,'Cadastro de Produtos'!$B:$C,2,0),""))</f>
        <v/>
      </c>
      <c r="D26" s="9"/>
      <c r="E26" s="14"/>
      <c r="F26" s="7"/>
      <c r="G26" s="14"/>
      <c r="H26" s="15" t="str">
        <f t="shared" si="0"/>
        <v/>
      </c>
      <c r="I26" s="16" t="str">
        <f t="shared" si="1"/>
        <v/>
      </c>
      <c r="J26" s="8"/>
    </row>
    <row r="27" spans="2:10" x14ac:dyDescent="0.25">
      <c r="B27" s="10"/>
      <c r="C27" s="17" t="str">
        <f>IF(B27="","",IFERROR(VLOOKUP(B27,'Cadastro de Produtos'!$B:$C,2,0),""))</f>
        <v/>
      </c>
      <c r="D27" s="12"/>
      <c r="E27" s="18"/>
      <c r="F27" s="10"/>
      <c r="G27" s="18"/>
      <c r="H27" s="19" t="str">
        <f t="shared" si="0"/>
        <v/>
      </c>
      <c r="I27" s="20" t="str">
        <f t="shared" si="1"/>
        <v/>
      </c>
      <c r="J27" s="11"/>
    </row>
    <row r="28" spans="2:10" x14ac:dyDescent="0.25">
      <c r="B28" s="7"/>
      <c r="C28" s="13" t="str">
        <f>IF(B28="","",IFERROR(VLOOKUP(B28,'Cadastro de Produtos'!$B:$C,2,0),""))</f>
        <v/>
      </c>
      <c r="D28" s="9"/>
      <c r="E28" s="14"/>
      <c r="F28" s="7"/>
      <c r="G28" s="14"/>
      <c r="H28" s="15" t="str">
        <f t="shared" si="0"/>
        <v/>
      </c>
      <c r="I28" s="16" t="str">
        <f t="shared" si="1"/>
        <v/>
      </c>
      <c r="J28" s="8"/>
    </row>
    <row r="29" spans="2:10" x14ac:dyDescent="0.25">
      <c r="B29" s="10"/>
      <c r="C29" s="17" t="str">
        <f>IF(B29="","",IFERROR(VLOOKUP(B29,'Cadastro de Produtos'!$B:$C,2,0),""))</f>
        <v/>
      </c>
      <c r="D29" s="12"/>
      <c r="E29" s="18"/>
      <c r="F29" s="10"/>
      <c r="G29" s="18"/>
      <c r="H29" s="19" t="str">
        <f t="shared" si="0"/>
        <v/>
      </c>
      <c r="I29" s="20" t="str">
        <f t="shared" si="1"/>
        <v/>
      </c>
      <c r="J29" s="11"/>
    </row>
    <row r="30" spans="2:10" x14ac:dyDescent="0.25">
      <c r="B30" s="7"/>
      <c r="C30" s="13" t="str">
        <f>IF(B30="","",IFERROR(VLOOKUP(B30,'Cadastro de Produtos'!$B:$C,2,0),""))</f>
        <v/>
      </c>
      <c r="D30" s="9"/>
      <c r="E30" s="14"/>
      <c r="F30" s="7"/>
      <c r="G30" s="14"/>
      <c r="H30" s="15" t="str">
        <f t="shared" si="0"/>
        <v/>
      </c>
      <c r="I30" s="16" t="str">
        <f t="shared" si="1"/>
        <v/>
      </c>
      <c r="J30" s="8"/>
    </row>
    <row r="31" spans="2:10" x14ac:dyDescent="0.25">
      <c r="B31" s="10"/>
      <c r="C31" s="17" t="str">
        <f>IF(B31="","",IFERROR(VLOOKUP(B31,'Cadastro de Produtos'!$B:$C,2,0),""))</f>
        <v/>
      </c>
      <c r="D31" s="12"/>
      <c r="E31" s="18"/>
      <c r="F31" s="10"/>
      <c r="G31" s="18"/>
      <c r="H31" s="19" t="str">
        <f t="shared" si="0"/>
        <v/>
      </c>
      <c r="I31" s="20" t="str">
        <f t="shared" si="1"/>
        <v/>
      </c>
      <c r="J31" s="11"/>
    </row>
    <row r="32" spans="2:10" x14ac:dyDescent="0.25">
      <c r="B32" s="7"/>
      <c r="C32" s="13" t="str">
        <f>IF(B32="","",IFERROR(VLOOKUP(B32,'Cadastro de Produtos'!$B:$C,2,0),""))</f>
        <v/>
      </c>
      <c r="D32" s="9"/>
      <c r="E32" s="14"/>
      <c r="F32" s="7"/>
      <c r="G32" s="14"/>
      <c r="H32" s="15" t="str">
        <f t="shared" si="0"/>
        <v/>
      </c>
      <c r="I32" s="16" t="str">
        <f t="shared" si="1"/>
        <v/>
      </c>
      <c r="J32" s="8"/>
    </row>
    <row r="33" spans="2:10" x14ac:dyDescent="0.25">
      <c r="B33" s="10"/>
      <c r="C33" s="17" t="str">
        <f>IF(B33="","",IFERROR(VLOOKUP(B33,'Cadastro de Produtos'!$B:$C,2,0),""))</f>
        <v/>
      </c>
      <c r="D33" s="12"/>
      <c r="E33" s="18"/>
      <c r="F33" s="10"/>
      <c r="G33" s="18"/>
      <c r="H33" s="19" t="str">
        <f t="shared" si="0"/>
        <v/>
      </c>
      <c r="I33" s="20" t="str">
        <f t="shared" si="1"/>
        <v/>
      </c>
      <c r="J33" s="11"/>
    </row>
    <row r="34" spans="2:10" x14ac:dyDescent="0.25">
      <c r="B34" s="7"/>
      <c r="C34" s="13" t="str">
        <f>IF(B34="","",IFERROR(VLOOKUP(B34,'Cadastro de Produtos'!$B:$C,2,0),""))</f>
        <v/>
      </c>
      <c r="D34" s="9"/>
      <c r="E34" s="14"/>
      <c r="F34" s="7"/>
      <c r="G34" s="14"/>
      <c r="H34" s="15" t="str">
        <f t="shared" si="0"/>
        <v/>
      </c>
      <c r="I34" s="16" t="str">
        <f t="shared" si="1"/>
        <v/>
      </c>
      <c r="J34" s="8"/>
    </row>
    <row r="35" spans="2:10" x14ac:dyDescent="0.25">
      <c r="B35" s="10"/>
      <c r="C35" s="17" t="str">
        <f>IF(B35="","",IFERROR(VLOOKUP(B35,'Cadastro de Produtos'!$B:$C,2,0),""))</f>
        <v/>
      </c>
      <c r="D35" s="12"/>
      <c r="E35" s="18"/>
      <c r="F35" s="10"/>
      <c r="G35" s="18"/>
      <c r="H35" s="19" t="str">
        <f t="shared" si="0"/>
        <v/>
      </c>
      <c r="I35" s="20" t="str">
        <f t="shared" si="1"/>
        <v/>
      </c>
      <c r="J35" s="11"/>
    </row>
    <row r="36" spans="2:10" x14ac:dyDescent="0.25">
      <c r="B36" s="7"/>
      <c r="C36" s="13" t="str">
        <f>IF(B36="","",IFERROR(VLOOKUP(B36,'Cadastro de Produtos'!$B:$C,2,0),""))</f>
        <v/>
      </c>
      <c r="D36" s="9"/>
      <c r="E36" s="14"/>
      <c r="F36" s="7"/>
      <c r="G36" s="14"/>
      <c r="H36" s="15" t="str">
        <f t="shared" si="0"/>
        <v/>
      </c>
      <c r="I36" s="16" t="str">
        <f t="shared" si="1"/>
        <v/>
      </c>
      <c r="J36" s="8"/>
    </row>
    <row r="37" spans="2:10" x14ac:dyDescent="0.25">
      <c r="B37" s="10"/>
      <c r="C37" s="17" t="str">
        <f>IF(B37="","",IFERROR(VLOOKUP(B37,'Cadastro de Produtos'!$B:$C,2,0),""))</f>
        <v/>
      </c>
      <c r="D37" s="12"/>
      <c r="E37" s="18"/>
      <c r="F37" s="10"/>
      <c r="G37" s="18"/>
      <c r="H37" s="19" t="str">
        <f t="shared" si="0"/>
        <v/>
      </c>
      <c r="I37" s="20" t="str">
        <f t="shared" si="1"/>
        <v/>
      </c>
      <c r="J37" s="11"/>
    </row>
    <row r="38" spans="2:10" x14ac:dyDescent="0.25">
      <c r="B38" s="7"/>
      <c r="C38" s="13" t="str">
        <f>IF(B38="","",IFERROR(VLOOKUP(B38,'Cadastro de Produtos'!$B:$C,2,0),""))</f>
        <v/>
      </c>
      <c r="D38" s="9"/>
      <c r="E38" s="14"/>
      <c r="F38" s="7"/>
      <c r="G38" s="14"/>
      <c r="H38" s="15" t="str">
        <f t="shared" ref="H38:H65" si="2">IF(B38="","",IF(OR(E38="",G38="",G38=0),"",(E38-G38)/G38))</f>
        <v/>
      </c>
      <c r="I38" s="16" t="str">
        <f t="shared" ref="I38:I65" si="3">IF(B38="","",IF(D38="","",D38*E38))</f>
        <v/>
      </c>
      <c r="J38" s="8"/>
    </row>
    <row r="39" spans="2:10" x14ac:dyDescent="0.25">
      <c r="B39" s="10"/>
      <c r="C39" s="17" t="str">
        <f>IF(B39="","",IFERROR(VLOOKUP(B39,'Cadastro de Produtos'!$B:$C,2,0),""))</f>
        <v/>
      </c>
      <c r="D39" s="12"/>
      <c r="E39" s="18"/>
      <c r="F39" s="10"/>
      <c r="G39" s="18"/>
      <c r="H39" s="19" t="str">
        <f t="shared" si="2"/>
        <v/>
      </c>
      <c r="I39" s="20" t="str">
        <f t="shared" si="3"/>
        <v/>
      </c>
      <c r="J39" s="11"/>
    </row>
    <row r="40" spans="2:10" x14ac:dyDescent="0.25">
      <c r="B40" s="7"/>
      <c r="C40" s="13" t="str">
        <f>IF(B40="","",IFERROR(VLOOKUP(B40,'Cadastro de Produtos'!$B:$C,2,0),""))</f>
        <v/>
      </c>
      <c r="D40" s="9"/>
      <c r="E40" s="14"/>
      <c r="F40" s="7"/>
      <c r="G40" s="14"/>
      <c r="H40" s="15" t="str">
        <f t="shared" si="2"/>
        <v/>
      </c>
      <c r="I40" s="16" t="str">
        <f t="shared" si="3"/>
        <v/>
      </c>
      <c r="J40" s="8"/>
    </row>
    <row r="41" spans="2:10" x14ac:dyDescent="0.25">
      <c r="B41" s="10"/>
      <c r="C41" s="17" t="str">
        <f>IF(B41="","",IFERROR(VLOOKUP(B41,'Cadastro de Produtos'!$B:$C,2,0),""))</f>
        <v/>
      </c>
      <c r="D41" s="12"/>
      <c r="E41" s="18"/>
      <c r="F41" s="10"/>
      <c r="G41" s="18"/>
      <c r="H41" s="19" t="str">
        <f t="shared" si="2"/>
        <v/>
      </c>
      <c r="I41" s="20" t="str">
        <f t="shared" si="3"/>
        <v/>
      </c>
      <c r="J41" s="11"/>
    </row>
    <row r="42" spans="2:10" x14ac:dyDescent="0.25">
      <c r="B42" s="7"/>
      <c r="C42" s="13" t="str">
        <f>IF(B42="","",IFERROR(VLOOKUP(B42,'Cadastro de Produtos'!$B:$C,2,0),""))</f>
        <v/>
      </c>
      <c r="D42" s="9"/>
      <c r="E42" s="14"/>
      <c r="F42" s="7"/>
      <c r="G42" s="14"/>
      <c r="H42" s="15" t="str">
        <f t="shared" si="2"/>
        <v/>
      </c>
      <c r="I42" s="16" t="str">
        <f t="shared" si="3"/>
        <v/>
      </c>
      <c r="J42" s="8"/>
    </row>
    <row r="43" spans="2:10" x14ac:dyDescent="0.25">
      <c r="B43" s="10"/>
      <c r="C43" s="17" t="str">
        <f>IF(B43="","",IFERROR(VLOOKUP(B43,'Cadastro de Produtos'!$B:$C,2,0),""))</f>
        <v/>
      </c>
      <c r="D43" s="12"/>
      <c r="E43" s="18"/>
      <c r="F43" s="10"/>
      <c r="G43" s="18"/>
      <c r="H43" s="19" t="str">
        <f t="shared" si="2"/>
        <v/>
      </c>
      <c r="I43" s="20" t="str">
        <f t="shared" si="3"/>
        <v/>
      </c>
      <c r="J43" s="11"/>
    </row>
    <row r="44" spans="2:10" x14ac:dyDescent="0.25">
      <c r="B44" s="7"/>
      <c r="C44" s="13" t="str">
        <f>IF(B44="","",IFERROR(VLOOKUP(B44,'Cadastro de Produtos'!$B:$C,2,0),""))</f>
        <v/>
      </c>
      <c r="D44" s="9"/>
      <c r="E44" s="14"/>
      <c r="F44" s="7"/>
      <c r="G44" s="14"/>
      <c r="H44" s="15" t="str">
        <f t="shared" si="2"/>
        <v/>
      </c>
      <c r="I44" s="16" t="str">
        <f t="shared" si="3"/>
        <v/>
      </c>
      <c r="J44" s="8"/>
    </row>
    <row r="45" spans="2:10" x14ac:dyDescent="0.25">
      <c r="B45" s="10"/>
      <c r="C45" s="17" t="str">
        <f>IF(B45="","",IFERROR(VLOOKUP(B45,'Cadastro de Produtos'!$B:$C,2,0),""))</f>
        <v/>
      </c>
      <c r="D45" s="12"/>
      <c r="E45" s="18"/>
      <c r="F45" s="10"/>
      <c r="G45" s="18"/>
      <c r="H45" s="19" t="str">
        <f t="shared" si="2"/>
        <v/>
      </c>
      <c r="I45" s="20" t="str">
        <f t="shared" si="3"/>
        <v/>
      </c>
      <c r="J45" s="11"/>
    </row>
    <row r="46" spans="2:10" x14ac:dyDescent="0.25">
      <c r="B46" s="7"/>
      <c r="C46" s="13" t="str">
        <f>IF(B46="","",IFERROR(VLOOKUP(B46,'Cadastro de Produtos'!$B:$C,2,0),""))</f>
        <v/>
      </c>
      <c r="D46" s="9"/>
      <c r="E46" s="14"/>
      <c r="F46" s="7"/>
      <c r="G46" s="14"/>
      <c r="H46" s="15" t="str">
        <f t="shared" si="2"/>
        <v/>
      </c>
      <c r="I46" s="16" t="str">
        <f t="shared" si="3"/>
        <v/>
      </c>
      <c r="J46" s="8"/>
    </row>
    <row r="47" spans="2:10" x14ac:dyDescent="0.25">
      <c r="B47" s="10"/>
      <c r="C47" s="17" t="str">
        <f>IF(B47="","",IFERROR(VLOOKUP(B47,'Cadastro de Produtos'!$B:$C,2,0),""))</f>
        <v/>
      </c>
      <c r="D47" s="12"/>
      <c r="E47" s="18"/>
      <c r="F47" s="10"/>
      <c r="G47" s="18"/>
      <c r="H47" s="19" t="str">
        <f t="shared" si="2"/>
        <v/>
      </c>
      <c r="I47" s="20" t="str">
        <f t="shared" si="3"/>
        <v/>
      </c>
      <c r="J47" s="11"/>
    </row>
    <row r="48" spans="2:10" x14ac:dyDescent="0.25">
      <c r="B48" s="7"/>
      <c r="C48" s="13" t="str">
        <f>IF(B48="","",IFERROR(VLOOKUP(B48,'Cadastro de Produtos'!$B:$C,2,0),""))</f>
        <v/>
      </c>
      <c r="D48" s="9"/>
      <c r="E48" s="14"/>
      <c r="F48" s="7"/>
      <c r="G48" s="14"/>
      <c r="H48" s="15" t="str">
        <f t="shared" si="2"/>
        <v/>
      </c>
      <c r="I48" s="16" t="str">
        <f t="shared" si="3"/>
        <v/>
      </c>
      <c r="J48" s="8"/>
    </row>
    <row r="49" spans="2:10" x14ac:dyDescent="0.25">
      <c r="B49" s="10"/>
      <c r="C49" s="17" t="str">
        <f>IF(B49="","",IFERROR(VLOOKUP(B49,'Cadastro de Produtos'!$B:$C,2,0),""))</f>
        <v/>
      </c>
      <c r="D49" s="12"/>
      <c r="E49" s="18"/>
      <c r="F49" s="10"/>
      <c r="G49" s="18"/>
      <c r="H49" s="19" t="str">
        <f t="shared" si="2"/>
        <v/>
      </c>
      <c r="I49" s="20" t="str">
        <f t="shared" si="3"/>
        <v/>
      </c>
      <c r="J49" s="11"/>
    </row>
    <row r="50" spans="2:10" x14ac:dyDescent="0.25">
      <c r="B50" s="7"/>
      <c r="C50" s="13" t="str">
        <f>IF(B50="","",IFERROR(VLOOKUP(B50,'Cadastro de Produtos'!$B:$C,2,0),""))</f>
        <v/>
      </c>
      <c r="D50" s="9"/>
      <c r="E50" s="14"/>
      <c r="F50" s="7"/>
      <c r="G50" s="14"/>
      <c r="H50" s="15" t="str">
        <f t="shared" si="2"/>
        <v/>
      </c>
      <c r="I50" s="16" t="str">
        <f t="shared" si="3"/>
        <v/>
      </c>
      <c r="J50" s="8"/>
    </row>
    <row r="51" spans="2:10" x14ac:dyDescent="0.25">
      <c r="B51" s="10"/>
      <c r="C51" s="17" t="str">
        <f>IF(B51="","",IFERROR(VLOOKUP(B51,'Cadastro de Produtos'!$B:$C,2,0),""))</f>
        <v/>
      </c>
      <c r="D51" s="12"/>
      <c r="E51" s="18"/>
      <c r="F51" s="10"/>
      <c r="G51" s="18"/>
      <c r="H51" s="19" t="str">
        <f t="shared" si="2"/>
        <v/>
      </c>
      <c r="I51" s="20" t="str">
        <f t="shared" si="3"/>
        <v/>
      </c>
      <c r="J51" s="11"/>
    </row>
    <row r="52" spans="2:10" x14ac:dyDescent="0.25">
      <c r="B52" s="7"/>
      <c r="C52" s="13" t="str">
        <f>IF(B52="","",IFERROR(VLOOKUP(B52,'Cadastro de Produtos'!$B:$C,2,0),""))</f>
        <v/>
      </c>
      <c r="D52" s="9"/>
      <c r="E52" s="14"/>
      <c r="F52" s="7"/>
      <c r="G52" s="14"/>
      <c r="H52" s="15" t="str">
        <f t="shared" si="2"/>
        <v/>
      </c>
      <c r="I52" s="16" t="str">
        <f t="shared" si="3"/>
        <v/>
      </c>
      <c r="J52" s="8"/>
    </row>
    <row r="53" spans="2:10" x14ac:dyDescent="0.25">
      <c r="B53" s="10"/>
      <c r="C53" s="17" t="str">
        <f>IF(B53="","",IFERROR(VLOOKUP(B53,'Cadastro de Produtos'!$B:$C,2,0),""))</f>
        <v/>
      </c>
      <c r="D53" s="12"/>
      <c r="E53" s="18"/>
      <c r="F53" s="10"/>
      <c r="G53" s="18"/>
      <c r="H53" s="19" t="str">
        <f t="shared" si="2"/>
        <v/>
      </c>
      <c r="I53" s="20" t="str">
        <f t="shared" si="3"/>
        <v/>
      </c>
      <c r="J53" s="11"/>
    </row>
    <row r="54" spans="2:10" x14ac:dyDescent="0.25">
      <c r="B54" s="7"/>
      <c r="C54" s="13" t="str">
        <f>IF(B54="","",IFERROR(VLOOKUP(B54,'Cadastro de Produtos'!$B:$C,2,0),""))</f>
        <v/>
      </c>
      <c r="D54" s="9"/>
      <c r="E54" s="14"/>
      <c r="F54" s="7"/>
      <c r="G54" s="14"/>
      <c r="H54" s="15" t="str">
        <f t="shared" si="2"/>
        <v/>
      </c>
      <c r="I54" s="16" t="str">
        <f t="shared" si="3"/>
        <v/>
      </c>
      <c r="J54" s="8"/>
    </row>
    <row r="55" spans="2:10" x14ac:dyDescent="0.25">
      <c r="B55" s="10"/>
      <c r="C55" s="17" t="str">
        <f>IF(B55="","",IFERROR(VLOOKUP(B55,'Cadastro de Produtos'!$B:$C,2,0),""))</f>
        <v/>
      </c>
      <c r="D55" s="12"/>
      <c r="E55" s="18"/>
      <c r="F55" s="10"/>
      <c r="G55" s="18"/>
      <c r="H55" s="19" t="str">
        <f t="shared" si="2"/>
        <v/>
      </c>
      <c r="I55" s="20" t="str">
        <f t="shared" si="3"/>
        <v/>
      </c>
      <c r="J55" s="11"/>
    </row>
    <row r="56" spans="2:10" x14ac:dyDescent="0.25">
      <c r="B56" s="7"/>
      <c r="C56" s="13" t="str">
        <f>IF(B56="","",IFERROR(VLOOKUP(B56,'Cadastro de Produtos'!$B:$C,2,0),""))</f>
        <v/>
      </c>
      <c r="D56" s="9"/>
      <c r="E56" s="14"/>
      <c r="F56" s="7"/>
      <c r="G56" s="14"/>
      <c r="H56" s="15" t="str">
        <f t="shared" si="2"/>
        <v/>
      </c>
      <c r="I56" s="16" t="str">
        <f t="shared" si="3"/>
        <v/>
      </c>
      <c r="J56" s="8"/>
    </row>
    <row r="57" spans="2:10" x14ac:dyDescent="0.25">
      <c r="B57" s="10"/>
      <c r="C57" s="17" t="str">
        <f>IF(B57="","",IFERROR(VLOOKUP(B57,'Cadastro de Produtos'!$B:$C,2,0),""))</f>
        <v/>
      </c>
      <c r="D57" s="12"/>
      <c r="E57" s="18"/>
      <c r="F57" s="10"/>
      <c r="G57" s="18"/>
      <c r="H57" s="19" t="str">
        <f t="shared" si="2"/>
        <v/>
      </c>
      <c r="I57" s="20" t="str">
        <f t="shared" si="3"/>
        <v/>
      </c>
      <c r="J57" s="11"/>
    </row>
    <row r="58" spans="2:10" x14ac:dyDescent="0.25">
      <c r="B58" s="7"/>
      <c r="C58" s="13" t="str">
        <f>IF(B58="","",IFERROR(VLOOKUP(B58,'Cadastro de Produtos'!$B:$C,2,0),""))</f>
        <v/>
      </c>
      <c r="D58" s="9"/>
      <c r="E58" s="14"/>
      <c r="F58" s="7"/>
      <c r="G58" s="14"/>
      <c r="H58" s="15" t="str">
        <f t="shared" si="2"/>
        <v/>
      </c>
      <c r="I58" s="16" t="str">
        <f t="shared" si="3"/>
        <v/>
      </c>
      <c r="J58" s="8"/>
    </row>
    <row r="59" spans="2:10" x14ac:dyDescent="0.25">
      <c r="B59" s="10"/>
      <c r="C59" s="17" t="str">
        <f>IF(B59="","",IFERROR(VLOOKUP(B59,'Cadastro de Produtos'!$B:$C,2,0),""))</f>
        <v/>
      </c>
      <c r="D59" s="12"/>
      <c r="E59" s="18"/>
      <c r="F59" s="10"/>
      <c r="G59" s="18"/>
      <c r="H59" s="19" t="str">
        <f t="shared" si="2"/>
        <v/>
      </c>
      <c r="I59" s="20" t="str">
        <f t="shared" si="3"/>
        <v/>
      </c>
      <c r="J59" s="11"/>
    </row>
    <row r="60" spans="2:10" x14ac:dyDescent="0.25">
      <c r="B60" s="7"/>
      <c r="C60" s="13" t="str">
        <f>IF(B60="","",IFERROR(VLOOKUP(B60,'Cadastro de Produtos'!$B:$C,2,0),""))</f>
        <v/>
      </c>
      <c r="D60" s="9"/>
      <c r="E60" s="14"/>
      <c r="F60" s="7"/>
      <c r="G60" s="14"/>
      <c r="H60" s="15" t="str">
        <f t="shared" si="2"/>
        <v/>
      </c>
      <c r="I60" s="16" t="str">
        <f t="shared" si="3"/>
        <v/>
      </c>
      <c r="J60" s="8"/>
    </row>
    <row r="61" spans="2:10" x14ac:dyDescent="0.25">
      <c r="B61" s="10"/>
      <c r="C61" s="17" t="str">
        <f>IF(B61="","",IFERROR(VLOOKUP(B61,'Cadastro de Produtos'!$B:$C,2,0),""))</f>
        <v/>
      </c>
      <c r="D61" s="12"/>
      <c r="E61" s="18"/>
      <c r="F61" s="10"/>
      <c r="G61" s="18"/>
      <c r="H61" s="19" t="str">
        <f t="shared" si="2"/>
        <v/>
      </c>
      <c r="I61" s="20" t="str">
        <f t="shared" si="3"/>
        <v/>
      </c>
      <c r="J61" s="11"/>
    </row>
    <row r="62" spans="2:10" x14ac:dyDescent="0.25">
      <c r="B62" s="7"/>
      <c r="C62" s="13" t="str">
        <f>IF(B62="","",IFERROR(VLOOKUP(B62,'Cadastro de Produtos'!$B:$C,2,0),""))</f>
        <v/>
      </c>
      <c r="D62" s="9"/>
      <c r="E62" s="14"/>
      <c r="F62" s="7"/>
      <c r="G62" s="14"/>
      <c r="H62" s="15" t="str">
        <f t="shared" si="2"/>
        <v/>
      </c>
      <c r="I62" s="16" t="str">
        <f t="shared" si="3"/>
        <v/>
      </c>
      <c r="J62" s="8"/>
    </row>
    <row r="63" spans="2:10" x14ac:dyDescent="0.25">
      <c r="B63" s="10"/>
      <c r="C63" s="17" t="str">
        <f>IF(B63="","",IFERROR(VLOOKUP(B63,'Cadastro de Produtos'!$B:$C,2,0),""))</f>
        <v/>
      </c>
      <c r="D63" s="12"/>
      <c r="E63" s="18"/>
      <c r="F63" s="10"/>
      <c r="G63" s="18"/>
      <c r="H63" s="19" t="str">
        <f t="shared" si="2"/>
        <v/>
      </c>
      <c r="I63" s="20" t="str">
        <f t="shared" si="3"/>
        <v/>
      </c>
      <c r="J63" s="11"/>
    </row>
    <row r="64" spans="2:10" x14ac:dyDescent="0.25">
      <c r="B64" s="7"/>
      <c r="C64" s="13" t="str">
        <f>IF(B64="","",IFERROR(VLOOKUP(B64,'Cadastro de Produtos'!$B:$C,2,0),""))</f>
        <v/>
      </c>
      <c r="D64" s="9"/>
      <c r="E64" s="14"/>
      <c r="F64" s="7"/>
      <c r="G64" s="14"/>
      <c r="H64" s="15" t="str">
        <f t="shared" si="2"/>
        <v/>
      </c>
      <c r="I64" s="16" t="str">
        <f t="shared" si="3"/>
        <v/>
      </c>
      <c r="J64" s="8"/>
    </row>
    <row r="65" spans="2:10" x14ac:dyDescent="0.25">
      <c r="B65" s="10"/>
      <c r="C65" s="17" t="str">
        <f>IF(B65="","",IFERROR(VLOOKUP(B65,'Cadastro de Produtos'!$B:$C,2,0),""))</f>
        <v/>
      </c>
      <c r="D65" s="12"/>
      <c r="E65" s="18"/>
      <c r="F65" s="10"/>
      <c r="G65" s="18"/>
      <c r="H65" s="19" t="str">
        <f t="shared" si="2"/>
        <v/>
      </c>
      <c r="I65" s="20" t="str">
        <f t="shared" si="3"/>
        <v/>
      </c>
      <c r="J65" s="11"/>
    </row>
  </sheetData>
  <sheetProtection sheet="1" autoFilter="0"/>
  <mergeCells count="2">
    <mergeCell ref="B2:J2"/>
    <mergeCell ref="B3:J3"/>
  </mergeCells>
  <conditionalFormatting sqref="B6:J65">
    <cfRule type="expression" dxfId="8" priority="2">
      <formula>$J6="✅ Sim"</formula>
    </cfRule>
    <cfRule type="expression" dxfId="7" priority="3">
      <formula>AND($H6&lt;&gt;"",$H6&gt;0)</formula>
    </cfRule>
    <cfRule type="expression" dxfId="6" priority="4">
      <formula>AND($H6&lt;&gt;"",$H6&lt;0)</formula>
    </cfRule>
  </conditionalFormatting>
  <dataValidations count="1">
    <dataValidation type="list" allowBlank="1" showErrorMessage="1" errorTitle="Opção inválida" error="Escolha uma opção da lista suspensa." sqref="J6:J65" xr:uid="{00000000-0002-0000-0C00-000002000000}">
      <formula1>"❌ Não,✅ Sim"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Produto inválido" error="Escolha um produto da lista suspensa. Se não aparece, cadastre-o primeiro na aba Cadastro de Produtos." xr:uid="{00000000-0002-0000-0C00-000000000000}">
          <x14:formula1>
            <xm:f>'Cadastro de Produtos'!$B$6:$B$65</xm:f>
          </x14:formula1>
          <x14:formula2>
            <xm:f>0</xm:f>
          </x14:formula2>
          <xm:sqref>B6:B65</xm:sqref>
        </x14:dataValidation>
        <x14:dataValidation type="list" allowBlank="1" showErrorMessage="1" errorTitle="Mercado inválido" error="Escolha um mercado da lista suspensa. Se não aparece, cadastre-o primeiro na aba Cadastro de Produtos." xr:uid="{00000000-0002-0000-0C00-000001000000}">
          <x14:formula1>
            <xm:f>'Cadastro de Produtos'!$F$6:$F$25</xm:f>
          </x14:formula1>
          <x14:formula2>
            <xm:f>0</xm:f>
          </x14:formula2>
          <xm:sqref>F6:F65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J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7109375" defaultRowHeight="15" x14ac:dyDescent="0.25"/>
  <cols>
    <col min="1" max="1" width="3" customWidth="1"/>
    <col min="2" max="2" width="22" customWidth="1"/>
    <col min="3" max="3" width="14" customWidth="1"/>
    <col min="4" max="4" width="11" customWidth="1"/>
    <col min="5" max="5" width="13" customWidth="1"/>
    <col min="6" max="6" width="16" customWidth="1"/>
    <col min="7" max="7" width="15" customWidth="1"/>
    <col min="8" max="8" width="13" customWidth="1"/>
    <col min="9" max="9" width="14" customWidth="1"/>
    <col min="10" max="10" width="12" customWidth="1"/>
  </cols>
  <sheetData>
    <row r="2" spans="2:10" ht="27.75" customHeight="1" x14ac:dyDescent="0.25">
      <c r="B2" s="58" t="s">
        <v>74</v>
      </c>
      <c r="C2" s="58"/>
      <c r="D2" s="58"/>
      <c r="E2" s="58"/>
      <c r="F2" s="58"/>
      <c r="G2" s="58"/>
      <c r="H2" s="58"/>
      <c r="I2" s="58"/>
      <c r="J2" s="58"/>
    </row>
    <row r="3" spans="2:10" ht="19.5" customHeight="1" x14ac:dyDescent="0.25">
      <c r="B3" s="57" t="s">
        <v>55</v>
      </c>
      <c r="C3" s="57"/>
      <c r="D3" s="57"/>
      <c r="E3" s="57"/>
      <c r="F3" s="57"/>
      <c r="G3" s="57"/>
      <c r="H3" s="57"/>
      <c r="I3" s="57"/>
      <c r="J3" s="57"/>
    </row>
    <row r="5" spans="2:10" ht="24" x14ac:dyDescent="0.25">
      <c r="B5" s="6" t="s">
        <v>38</v>
      </c>
      <c r="C5" s="6" t="s">
        <v>56</v>
      </c>
      <c r="D5" s="6" t="s">
        <v>57</v>
      </c>
      <c r="E5" s="6" t="s">
        <v>58</v>
      </c>
      <c r="F5" s="6" t="s">
        <v>59</v>
      </c>
      <c r="G5" s="6" t="s">
        <v>60</v>
      </c>
      <c r="H5" s="6" t="s">
        <v>61</v>
      </c>
      <c r="I5" s="6" t="s">
        <v>62</v>
      </c>
      <c r="J5" s="6" t="s">
        <v>63</v>
      </c>
    </row>
    <row r="6" spans="2:10" x14ac:dyDescent="0.25">
      <c r="B6" s="7"/>
      <c r="C6" s="13" t="str">
        <f>IF(B6="","",IFERROR(VLOOKUP(B6,'Cadastro de Produtos'!$B:$C,2,0),""))</f>
        <v/>
      </c>
      <c r="D6" s="9"/>
      <c r="E6" s="14"/>
      <c r="F6" s="7"/>
      <c r="G6" s="14"/>
      <c r="H6" s="15" t="str">
        <f t="shared" ref="H6:H37" si="0">IF(B6="","",IF(OR(E6="",G6="",G6=0),"",(E6-G6)/G6))</f>
        <v/>
      </c>
      <c r="I6" s="16" t="str">
        <f t="shared" ref="I6:I37" si="1">IF(B6="","",IF(D6="","",D6*E6))</f>
        <v/>
      </c>
      <c r="J6" s="8"/>
    </row>
    <row r="7" spans="2:10" x14ac:dyDescent="0.25">
      <c r="B7" s="10"/>
      <c r="C7" s="17" t="str">
        <f>IF(B7="","",IFERROR(VLOOKUP(B7,'Cadastro de Produtos'!$B:$C,2,0),""))</f>
        <v/>
      </c>
      <c r="D7" s="12"/>
      <c r="E7" s="18"/>
      <c r="F7" s="10"/>
      <c r="G7" s="18"/>
      <c r="H7" s="19" t="str">
        <f t="shared" si="0"/>
        <v/>
      </c>
      <c r="I7" s="20" t="str">
        <f t="shared" si="1"/>
        <v/>
      </c>
      <c r="J7" s="11"/>
    </row>
    <row r="8" spans="2:10" x14ac:dyDescent="0.25">
      <c r="B8" s="7"/>
      <c r="C8" s="13" t="str">
        <f>IF(B8="","",IFERROR(VLOOKUP(B8,'Cadastro de Produtos'!$B:$C,2,0),""))</f>
        <v/>
      </c>
      <c r="D8" s="9"/>
      <c r="E8" s="14"/>
      <c r="F8" s="7"/>
      <c r="G8" s="14"/>
      <c r="H8" s="15" t="str">
        <f t="shared" si="0"/>
        <v/>
      </c>
      <c r="I8" s="16" t="str">
        <f t="shared" si="1"/>
        <v/>
      </c>
      <c r="J8" s="8"/>
    </row>
    <row r="9" spans="2:10" x14ac:dyDescent="0.25">
      <c r="B9" s="10"/>
      <c r="C9" s="17" t="str">
        <f>IF(B9="","",IFERROR(VLOOKUP(B9,'Cadastro de Produtos'!$B:$C,2,0),""))</f>
        <v/>
      </c>
      <c r="D9" s="12"/>
      <c r="E9" s="18"/>
      <c r="F9" s="10"/>
      <c r="G9" s="18"/>
      <c r="H9" s="19" t="str">
        <f t="shared" si="0"/>
        <v/>
      </c>
      <c r="I9" s="20" t="str">
        <f t="shared" si="1"/>
        <v/>
      </c>
      <c r="J9" s="11"/>
    </row>
    <row r="10" spans="2:10" x14ac:dyDescent="0.25">
      <c r="B10" s="7"/>
      <c r="C10" s="13" t="str">
        <f>IF(B10="","",IFERROR(VLOOKUP(B10,'Cadastro de Produtos'!$B:$C,2,0),""))</f>
        <v/>
      </c>
      <c r="D10" s="9"/>
      <c r="E10" s="14"/>
      <c r="F10" s="7"/>
      <c r="G10" s="14"/>
      <c r="H10" s="15" t="str">
        <f t="shared" si="0"/>
        <v/>
      </c>
      <c r="I10" s="16" t="str">
        <f t="shared" si="1"/>
        <v/>
      </c>
      <c r="J10" s="8"/>
    </row>
    <row r="11" spans="2:10" x14ac:dyDescent="0.25">
      <c r="B11" s="10"/>
      <c r="C11" s="17" t="str">
        <f>IF(B11="","",IFERROR(VLOOKUP(B11,'Cadastro de Produtos'!$B:$C,2,0),""))</f>
        <v/>
      </c>
      <c r="D11" s="12"/>
      <c r="E11" s="18"/>
      <c r="F11" s="10"/>
      <c r="G11" s="18"/>
      <c r="H11" s="19" t="str">
        <f t="shared" si="0"/>
        <v/>
      </c>
      <c r="I11" s="20" t="str">
        <f t="shared" si="1"/>
        <v/>
      </c>
      <c r="J11" s="11"/>
    </row>
    <row r="12" spans="2:10" x14ac:dyDescent="0.25">
      <c r="B12" s="7"/>
      <c r="C12" s="13" t="str">
        <f>IF(B12="","",IFERROR(VLOOKUP(B12,'Cadastro de Produtos'!$B:$C,2,0),""))</f>
        <v/>
      </c>
      <c r="D12" s="9"/>
      <c r="E12" s="14"/>
      <c r="F12" s="7"/>
      <c r="G12" s="14"/>
      <c r="H12" s="15" t="str">
        <f t="shared" si="0"/>
        <v/>
      </c>
      <c r="I12" s="16" t="str">
        <f t="shared" si="1"/>
        <v/>
      </c>
      <c r="J12" s="8"/>
    </row>
    <row r="13" spans="2:10" x14ac:dyDescent="0.25">
      <c r="B13" s="10"/>
      <c r="C13" s="17" t="str">
        <f>IF(B13="","",IFERROR(VLOOKUP(B13,'Cadastro de Produtos'!$B:$C,2,0),""))</f>
        <v/>
      </c>
      <c r="D13" s="12"/>
      <c r="E13" s="18"/>
      <c r="F13" s="10"/>
      <c r="G13" s="18"/>
      <c r="H13" s="19" t="str">
        <f t="shared" si="0"/>
        <v/>
      </c>
      <c r="I13" s="20" t="str">
        <f t="shared" si="1"/>
        <v/>
      </c>
      <c r="J13" s="11"/>
    </row>
    <row r="14" spans="2:10" x14ac:dyDescent="0.25">
      <c r="B14" s="7"/>
      <c r="C14" s="13" t="str">
        <f>IF(B14="","",IFERROR(VLOOKUP(B14,'Cadastro de Produtos'!$B:$C,2,0),""))</f>
        <v/>
      </c>
      <c r="D14" s="9"/>
      <c r="E14" s="14"/>
      <c r="F14" s="7"/>
      <c r="G14" s="14"/>
      <c r="H14" s="15" t="str">
        <f t="shared" si="0"/>
        <v/>
      </c>
      <c r="I14" s="16" t="str">
        <f t="shared" si="1"/>
        <v/>
      </c>
      <c r="J14" s="8"/>
    </row>
    <row r="15" spans="2:10" x14ac:dyDescent="0.25">
      <c r="B15" s="10"/>
      <c r="C15" s="17" t="str">
        <f>IF(B15="","",IFERROR(VLOOKUP(B15,'Cadastro de Produtos'!$B:$C,2,0),""))</f>
        <v/>
      </c>
      <c r="D15" s="12"/>
      <c r="E15" s="18"/>
      <c r="F15" s="10"/>
      <c r="G15" s="18"/>
      <c r="H15" s="19" t="str">
        <f t="shared" si="0"/>
        <v/>
      </c>
      <c r="I15" s="20" t="str">
        <f t="shared" si="1"/>
        <v/>
      </c>
      <c r="J15" s="11"/>
    </row>
    <row r="16" spans="2:10" x14ac:dyDescent="0.25">
      <c r="B16" s="7"/>
      <c r="C16" s="13" t="str">
        <f>IF(B16="","",IFERROR(VLOOKUP(B16,'Cadastro de Produtos'!$B:$C,2,0),""))</f>
        <v/>
      </c>
      <c r="D16" s="9"/>
      <c r="E16" s="14"/>
      <c r="F16" s="7"/>
      <c r="G16" s="14"/>
      <c r="H16" s="15" t="str">
        <f t="shared" si="0"/>
        <v/>
      </c>
      <c r="I16" s="16" t="str">
        <f t="shared" si="1"/>
        <v/>
      </c>
      <c r="J16" s="8"/>
    </row>
    <row r="17" spans="2:10" x14ac:dyDescent="0.25">
      <c r="B17" s="10"/>
      <c r="C17" s="17" t="str">
        <f>IF(B17="","",IFERROR(VLOOKUP(B17,'Cadastro de Produtos'!$B:$C,2,0),""))</f>
        <v/>
      </c>
      <c r="D17" s="12"/>
      <c r="E17" s="18"/>
      <c r="F17" s="10"/>
      <c r="G17" s="18"/>
      <c r="H17" s="19" t="str">
        <f t="shared" si="0"/>
        <v/>
      </c>
      <c r="I17" s="20" t="str">
        <f t="shared" si="1"/>
        <v/>
      </c>
      <c r="J17" s="11"/>
    </row>
    <row r="18" spans="2:10" x14ac:dyDescent="0.25">
      <c r="B18" s="7"/>
      <c r="C18" s="13" t="str">
        <f>IF(B18="","",IFERROR(VLOOKUP(B18,'Cadastro de Produtos'!$B:$C,2,0),""))</f>
        <v/>
      </c>
      <c r="D18" s="9"/>
      <c r="E18" s="14"/>
      <c r="F18" s="7"/>
      <c r="G18" s="14"/>
      <c r="H18" s="15" t="str">
        <f t="shared" si="0"/>
        <v/>
      </c>
      <c r="I18" s="16" t="str">
        <f t="shared" si="1"/>
        <v/>
      </c>
      <c r="J18" s="8"/>
    </row>
    <row r="19" spans="2:10" x14ac:dyDescent="0.25">
      <c r="B19" s="10"/>
      <c r="C19" s="17" t="str">
        <f>IF(B19="","",IFERROR(VLOOKUP(B19,'Cadastro de Produtos'!$B:$C,2,0),""))</f>
        <v/>
      </c>
      <c r="D19" s="12"/>
      <c r="E19" s="18"/>
      <c r="F19" s="10"/>
      <c r="G19" s="18"/>
      <c r="H19" s="19" t="str">
        <f t="shared" si="0"/>
        <v/>
      </c>
      <c r="I19" s="20" t="str">
        <f t="shared" si="1"/>
        <v/>
      </c>
      <c r="J19" s="11"/>
    </row>
    <row r="20" spans="2:10" x14ac:dyDescent="0.25">
      <c r="B20" s="7"/>
      <c r="C20" s="13" t="str">
        <f>IF(B20="","",IFERROR(VLOOKUP(B20,'Cadastro de Produtos'!$B:$C,2,0),""))</f>
        <v/>
      </c>
      <c r="D20" s="9"/>
      <c r="E20" s="14"/>
      <c r="F20" s="7"/>
      <c r="G20" s="14"/>
      <c r="H20" s="15" t="str">
        <f t="shared" si="0"/>
        <v/>
      </c>
      <c r="I20" s="16" t="str">
        <f t="shared" si="1"/>
        <v/>
      </c>
      <c r="J20" s="8"/>
    </row>
    <row r="21" spans="2:10" x14ac:dyDescent="0.25">
      <c r="B21" s="10"/>
      <c r="C21" s="17" t="str">
        <f>IF(B21="","",IFERROR(VLOOKUP(B21,'Cadastro de Produtos'!$B:$C,2,0),""))</f>
        <v/>
      </c>
      <c r="D21" s="12"/>
      <c r="E21" s="18"/>
      <c r="F21" s="10"/>
      <c r="G21" s="18"/>
      <c r="H21" s="19" t="str">
        <f t="shared" si="0"/>
        <v/>
      </c>
      <c r="I21" s="20" t="str">
        <f t="shared" si="1"/>
        <v/>
      </c>
      <c r="J21" s="11"/>
    </row>
    <row r="22" spans="2:10" x14ac:dyDescent="0.25">
      <c r="B22" s="7"/>
      <c r="C22" s="13" t="str">
        <f>IF(B22="","",IFERROR(VLOOKUP(B22,'Cadastro de Produtos'!$B:$C,2,0),""))</f>
        <v/>
      </c>
      <c r="D22" s="9"/>
      <c r="E22" s="14"/>
      <c r="F22" s="7"/>
      <c r="G22" s="14"/>
      <c r="H22" s="15" t="str">
        <f t="shared" si="0"/>
        <v/>
      </c>
      <c r="I22" s="16" t="str">
        <f t="shared" si="1"/>
        <v/>
      </c>
      <c r="J22" s="8"/>
    </row>
    <row r="23" spans="2:10" x14ac:dyDescent="0.25">
      <c r="B23" s="10"/>
      <c r="C23" s="17" t="str">
        <f>IF(B23="","",IFERROR(VLOOKUP(B23,'Cadastro de Produtos'!$B:$C,2,0),""))</f>
        <v/>
      </c>
      <c r="D23" s="12"/>
      <c r="E23" s="18"/>
      <c r="F23" s="10"/>
      <c r="G23" s="18"/>
      <c r="H23" s="19" t="str">
        <f t="shared" si="0"/>
        <v/>
      </c>
      <c r="I23" s="20" t="str">
        <f t="shared" si="1"/>
        <v/>
      </c>
      <c r="J23" s="11"/>
    </row>
    <row r="24" spans="2:10" x14ac:dyDescent="0.25">
      <c r="B24" s="7"/>
      <c r="C24" s="13" t="str">
        <f>IF(B24="","",IFERROR(VLOOKUP(B24,'Cadastro de Produtos'!$B:$C,2,0),""))</f>
        <v/>
      </c>
      <c r="D24" s="9"/>
      <c r="E24" s="14"/>
      <c r="F24" s="7"/>
      <c r="G24" s="14"/>
      <c r="H24" s="15" t="str">
        <f t="shared" si="0"/>
        <v/>
      </c>
      <c r="I24" s="16" t="str">
        <f t="shared" si="1"/>
        <v/>
      </c>
      <c r="J24" s="8"/>
    </row>
    <row r="25" spans="2:10" x14ac:dyDescent="0.25">
      <c r="B25" s="10"/>
      <c r="C25" s="17" t="str">
        <f>IF(B25="","",IFERROR(VLOOKUP(B25,'Cadastro de Produtos'!$B:$C,2,0),""))</f>
        <v/>
      </c>
      <c r="D25" s="12"/>
      <c r="E25" s="18"/>
      <c r="F25" s="10"/>
      <c r="G25" s="18"/>
      <c r="H25" s="19" t="str">
        <f t="shared" si="0"/>
        <v/>
      </c>
      <c r="I25" s="20" t="str">
        <f t="shared" si="1"/>
        <v/>
      </c>
      <c r="J25" s="11"/>
    </row>
    <row r="26" spans="2:10" x14ac:dyDescent="0.25">
      <c r="B26" s="7"/>
      <c r="C26" s="13" t="str">
        <f>IF(B26="","",IFERROR(VLOOKUP(B26,'Cadastro de Produtos'!$B:$C,2,0),""))</f>
        <v/>
      </c>
      <c r="D26" s="9"/>
      <c r="E26" s="14"/>
      <c r="F26" s="7"/>
      <c r="G26" s="14"/>
      <c r="H26" s="15" t="str">
        <f t="shared" si="0"/>
        <v/>
      </c>
      <c r="I26" s="16" t="str">
        <f t="shared" si="1"/>
        <v/>
      </c>
      <c r="J26" s="8"/>
    </row>
    <row r="27" spans="2:10" x14ac:dyDescent="0.25">
      <c r="B27" s="10"/>
      <c r="C27" s="17" t="str">
        <f>IF(B27="","",IFERROR(VLOOKUP(B27,'Cadastro de Produtos'!$B:$C,2,0),""))</f>
        <v/>
      </c>
      <c r="D27" s="12"/>
      <c r="E27" s="18"/>
      <c r="F27" s="10"/>
      <c r="G27" s="18"/>
      <c r="H27" s="19" t="str">
        <f t="shared" si="0"/>
        <v/>
      </c>
      <c r="I27" s="20" t="str">
        <f t="shared" si="1"/>
        <v/>
      </c>
      <c r="J27" s="11"/>
    </row>
    <row r="28" spans="2:10" x14ac:dyDescent="0.25">
      <c r="B28" s="7"/>
      <c r="C28" s="13" t="str">
        <f>IF(B28="","",IFERROR(VLOOKUP(B28,'Cadastro de Produtos'!$B:$C,2,0),""))</f>
        <v/>
      </c>
      <c r="D28" s="9"/>
      <c r="E28" s="14"/>
      <c r="F28" s="7"/>
      <c r="G28" s="14"/>
      <c r="H28" s="15" t="str">
        <f t="shared" si="0"/>
        <v/>
      </c>
      <c r="I28" s="16" t="str">
        <f t="shared" si="1"/>
        <v/>
      </c>
      <c r="J28" s="8"/>
    </row>
    <row r="29" spans="2:10" x14ac:dyDescent="0.25">
      <c r="B29" s="10"/>
      <c r="C29" s="17" t="str">
        <f>IF(B29="","",IFERROR(VLOOKUP(B29,'Cadastro de Produtos'!$B:$C,2,0),""))</f>
        <v/>
      </c>
      <c r="D29" s="12"/>
      <c r="E29" s="18"/>
      <c r="F29" s="10"/>
      <c r="G29" s="18"/>
      <c r="H29" s="19" t="str">
        <f t="shared" si="0"/>
        <v/>
      </c>
      <c r="I29" s="20" t="str">
        <f t="shared" si="1"/>
        <v/>
      </c>
      <c r="J29" s="11"/>
    </row>
    <row r="30" spans="2:10" x14ac:dyDescent="0.25">
      <c r="B30" s="7"/>
      <c r="C30" s="13" t="str">
        <f>IF(B30="","",IFERROR(VLOOKUP(B30,'Cadastro de Produtos'!$B:$C,2,0),""))</f>
        <v/>
      </c>
      <c r="D30" s="9"/>
      <c r="E30" s="14"/>
      <c r="F30" s="7"/>
      <c r="G30" s="14"/>
      <c r="H30" s="15" t="str">
        <f t="shared" si="0"/>
        <v/>
      </c>
      <c r="I30" s="16" t="str">
        <f t="shared" si="1"/>
        <v/>
      </c>
      <c r="J30" s="8"/>
    </row>
    <row r="31" spans="2:10" x14ac:dyDescent="0.25">
      <c r="B31" s="10"/>
      <c r="C31" s="17" t="str">
        <f>IF(B31="","",IFERROR(VLOOKUP(B31,'Cadastro de Produtos'!$B:$C,2,0),""))</f>
        <v/>
      </c>
      <c r="D31" s="12"/>
      <c r="E31" s="18"/>
      <c r="F31" s="10"/>
      <c r="G31" s="18"/>
      <c r="H31" s="19" t="str">
        <f t="shared" si="0"/>
        <v/>
      </c>
      <c r="I31" s="20" t="str">
        <f t="shared" si="1"/>
        <v/>
      </c>
      <c r="J31" s="11"/>
    </row>
    <row r="32" spans="2:10" x14ac:dyDescent="0.25">
      <c r="B32" s="7"/>
      <c r="C32" s="13" t="str">
        <f>IF(B32="","",IFERROR(VLOOKUP(B32,'Cadastro de Produtos'!$B:$C,2,0),""))</f>
        <v/>
      </c>
      <c r="D32" s="9"/>
      <c r="E32" s="14"/>
      <c r="F32" s="7"/>
      <c r="G32" s="14"/>
      <c r="H32" s="15" t="str">
        <f t="shared" si="0"/>
        <v/>
      </c>
      <c r="I32" s="16" t="str">
        <f t="shared" si="1"/>
        <v/>
      </c>
      <c r="J32" s="8"/>
    </row>
    <row r="33" spans="2:10" x14ac:dyDescent="0.25">
      <c r="B33" s="10"/>
      <c r="C33" s="17" t="str">
        <f>IF(B33="","",IFERROR(VLOOKUP(B33,'Cadastro de Produtos'!$B:$C,2,0),""))</f>
        <v/>
      </c>
      <c r="D33" s="12"/>
      <c r="E33" s="18"/>
      <c r="F33" s="10"/>
      <c r="G33" s="18"/>
      <c r="H33" s="19" t="str">
        <f t="shared" si="0"/>
        <v/>
      </c>
      <c r="I33" s="20" t="str">
        <f t="shared" si="1"/>
        <v/>
      </c>
      <c r="J33" s="11"/>
    </row>
    <row r="34" spans="2:10" x14ac:dyDescent="0.25">
      <c r="B34" s="7"/>
      <c r="C34" s="13" t="str">
        <f>IF(B34="","",IFERROR(VLOOKUP(B34,'Cadastro de Produtos'!$B:$C,2,0),""))</f>
        <v/>
      </c>
      <c r="D34" s="9"/>
      <c r="E34" s="14"/>
      <c r="F34" s="7"/>
      <c r="G34" s="14"/>
      <c r="H34" s="15" t="str">
        <f t="shared" si="0"/>
        <v/>
      </c>
      <c r="I34" s="16" t="str">
        <f t="shared" si="1"/>
        <v/>
      </c>
      <c r="J34" s="8"/>
    </row>
    <row r="35" spans="2:10" x14ac:dyDescent="0.25">
      <c r="B35" s="10"/>
      <c r="C35" s="17" t="str">
        <f>IF(B35="","",IFERROR(VLOOKUP(B35,'Cadastro de Produtos'!$B:$C,2,0),""))</f>
        <v/>
      </c>
      <c r="D35" s="12"/>
      <c r="E35" s="18"/>
      <c r="F35" s="10"/>
      <c r="G35" s="18"/>
      <c r="H35" s="19" t="str">
        <f t="shared" si="0"/>
        <v/>
      </c>
      <c r="I35" s="20" t="str">
        <f t="shared" si="1"/>
        <v/>
      </c>
      <c r="J35" s="11"/>
    </row>
    <row r="36" spans="2:10" x14ac:dyDescent="0.25">
      <c r="B36" s="7"/>
      <c r="C36" s="13" t="str">
        <f>IF(B36="","",IFERROR(VLOOKUP(B36,'Cadastro de Produtos'!$B:$C,2,0),""))</f>
        <v/>
      </c>
      <c r="D36" s="9"/>
      <c r="E36" s="14"/>
      <c r="F36" s="7"/>
      <c r="G36" s="14"/>
      <c r="H36" s="15" t="str">
        <f t="shared" si="0"/>
        <v/>
      </c>
      <c r="I36" s="16" t="str">
        <f t="shared" si="1"/>
        <v/>
      </c>
      <c r="J36" s="8"/>
    </row>
    <row r="37" spans="2:10" x14ac:dyDescent="0.25">
      <c r="B37" s="10"/>
      <c r="C37" s="17" t="str">
        <f>IF(B37="","",IFERROR(VLOOKUP(B37,'Cadastro de Produtos'!$B:$C,2,0),""))</f>
        <v/>
      </c>
      <c r="D37" s="12"/>
      <c r="E37" s="18"/>
      <c r="F37" s="10"/>
      <c r="G37" s="18"/>
      <c r="H37" s="19" t="str">
        <f t="shared" si="0"/>
        <v/>
      </c>
      <c r="I37" s="20" t="str">
        <f t="shared" si="1"/>
        <v/>
      </c>
      <c r="J37" s="11"/>
    </row>
    <row r="38" spans="2:10" x14ac:dyDescent="0.25">
      <c r="B38" s="7"/>
      <c r="C38" s="13" t="str">
        <f>IF(B38="","",IFERROR(VLOOKUP(B38,'Cadastro de Produtos'!$B:$C,2,0),""))</f>
        <v/>
      </c>
      <c r="D38" s="9"/>
      <c r="E38" s="14"/>
      <c r="F38" s="7"/>
      <c r="G38" s="14"/>
      <c r="H38" s="15" t="str">
        <f t="shared" ref="H38:H65" si="2">IF(B38="","",IF(OR(E38="",G38="",G38=0),"",(E38-G38)/G38))</f>
        <v/>
      </c>
      <c r="I38" s="16" t="str">
        <f t="shared" ref="I38:I65" si="3">IF(B38="","",IF(D38="","",D38*E38))</f>
        <v/>
      </c>
      <c r="J38" s="8"/>
    </row>
    <row r="39" spans="2:10" x14ac:dyDescent="0.25">
      <c r="B39" s="10"/>
      <c r="C39" s="17" t="str">
        <f>IF(B39="","",IFERROR(VLOOKUP(B39,'Cadastro de Produtos'!$B:$C,2,0),""))</f>
        <v/>
      </c>
      <c r="D39" s="12"/>
      <c r="E39" s="18"/>
      <c r="F39" s="10"/>
      <c r="G39" s="18"/>
      <c r="H39" s="19" t="str">
        <f t="shared" si="2"/>
        <v/>
      </c>
      <c r="I39" s="20" t="str">
        <f t="shared" si="3"/>
        <v/>
      </c>
      <c r="J39" s="11"/>
    </row>
    <row r="40" spans="2:10" x14ac:dyDescent="0.25">
      <c r="B40" s="7"/>
      <c r="C40" s="13" t="str">
        <f>IF(B40="","",IFERROR(VLOOKUP(B40,'Cadastro de Produtos'!$B:$C,2,0),""))</f>
        <v/>
      </c>
      <c r="D40" s="9"/>
      <c r="E40" s="14"/>
      <c r="F40" s="7"/>
      <c r="G40" s="14"/>
      <c r="H40" s="15" t="str">
        <f t="shared" si="2"/>
        <v/>
      </c>
      <c r="I40" s="16" t="str">
        <f t="shared" si="3"/>
        <v/>
      </c>
      <c r="J40" s="8"/>
    </row>
    <row r="41" spans="2:10" x14ac:dyDescent="0.25">
      <c r="B41" s="10"/>
      <c r="C41" s="17" t="str">
        <f>IF(B41="","",IFERROR(VLOOKUP(B41,'Cadastro de Produtos'!$B:$C,2,0),""))</f>
        <v/>
      </c>
      <c r="D41" s="12"/>
      <c r="E41" s="18"/>
      <c r="F41" s="10"/>
      <c r="G41" s="18"/>
      <c r="H41" s="19" t="str">
        <f t="shared" si="2"/>
        <v/>
      </c>
      <c r="I41" s="20" t="str">
        <f t="shared" si="3"/>
        <v/>
      </c>
      <c r="J41" s="11"/>
    </row>
    <row r="42" spans="2:10" x14ac:dyDescent="0.25">
      <c r="B42" s="7"/>
      <c r="C42" s="13" t="str">
        <f>IF(B42="","",IFERROR(VLOOKUP(B42,'Cadastro de Produtos'!$B:$C,2,0),""))</f>
        <v/>
      </c>
      <c r="D42" s="9"/>
      <c r="E42" s="14"/>
      <c r="F42" s="7"/>
      <c r="G42" s="14"/>
      <c r="H42" s="15" t="str">
        <f t="shared" si="2"/>
        <v/>
      </c>
      <c r="I42" s="16" t="str">
        <f t="shared" si="3"/>
        <v/>
      </c>
      <c r="J42" s="8"/>
    </row>
    <row r="43" spans="2:10" x14ac:dyDescent="0.25">
      <c r="B43" s="10"/>
      <c r="C43" s="17" t="str">
        <f>IF(B43="","",IFERROR(VLOOKUP(B43,'Cadastro de Produtos'!$B:$C,2,0),""))</f>
        <v/>
      </c>
      <c r="D43" s="12"/>
      <c r="E43" s="18"/>
      <c r="F43" s="10"/>
      <c r="G43" s="18"/>
      <c r="H43" s="19" t="str">
        <f t="shared" si="2"/>
        <v/>
      </c>
      <c r="I43" s="20" t="str">
        <f t="shared" si="3"/>
        <v/>
      </c>
      <c r="J43" s="11"/>
    </row>
    <row r="44" spans="2:10" x14ac:dyDescent="0.25">
      <c r="B44" s="7"/>
      <c r="C44" s="13" t="str">
        <f>IF(B44="","",IFERROR(VLOOKUP(B44,'Cadastro de Produtos'!$B:$C,2,0),""))</f>
        <v/>
      </c>
      <c r="D44" s="9"/>
      <c r="E44" s="14"/>
      <c r="F44" s="7"/>
      <c r="G44" s="14"/>
      <c r="H44" s="15" t="str">
        <f t="shared" si="2"/>
        <v/>
      </c>
      <c r="I44" s="16" t="str">
        <f t="shared" si="3"/>
        <v/>
      </c>
      <c r="J44" s="8"/>
    </row>
    <row r="45" spans="2:10" x14ac:dyDescent="0.25">
      <c r="B45" s="10"/>
      <c r="C45" s="17" t="str">
        <f>IF(B45="","",IFERROR(VLOOKUP(B45,'Cadastro de Produtos'!$B:$C,2,0),""))</f>
        <v/>
      </c>
      <c r="D45" s="12"/>
      <c r="E45" s="18"/>
      <c r="F45" s="10"/>
      <c r="G45" s="18"/>
      <c r="H45" s="19" t="str">
        <f t="shared" si="2"/>
        <v/>
      </c>
      <c r="I45" s="20" t="str">
        <f t="shared" si="3"/>
        <v/>
      </c>
      <c r="J45" s="11"/>
    </row>
    <row r="46" spans="2:10" x14ac:dyDescent="0.25">
      <c r="B46" s="7"/>
      <c r="C46" s="13" t="str">
        <f>IF(B46="","",IFERROR(VLOOKUP(B46,'Cadastro de Produtos'!$B:$C,2,0),""))</f>
        <v/>
      </c>
      <c r="D46" s="9"/>
      <c r="E46" s="14"/>
      <c r="F46" s="7"/>
      <c r="G46" s="14"/>
      <c r="H46" s="15" t="str">
        <f t="shared" si="2"/>
        <v/>
      </c>
      <c r="I46" s="16" t="str">
        <f t="shared" si="3"/>
        <v/>
      </c>
      <c r="J46" s="8"/>
    </row>
    <row r="47" spans="2:10" x14ac:dyDescent="0.25">
      <c r="B47" s="10"/>
      <c r="C47" s="17" t="str">
        <f>IF(B47="","",IFERROR(VLOOKUP(B47,'Cadastro de Produtos'!$B:$C,2,0),""))</f>
        <v/>
      </c>
      <c r="D47" s="12"/>
      <c r="E47" s="18"/>
      <c r="F47" s="10"/>
      <c r="G47" s="18"/>
      <c r="H47" s="19" t="str">
        <f t="shared" si="2"/>
        <v/>
      </c>
      <c r="I47" s="20" t="str">
        <f t="shared" si="3"/>
        <v/>
      </c>
      <c r="J47" s="11"/>
    </row>
    <row r="48" spans="2:10" x14ac:dyDescent="0.25">
      <c r="B48" s="7"/>
      <c r="C48" s="13" t="str">
        <f>IF(B48="","",IFERROR(VLOOKUP(B48,'Cadastro de Produtos'!$B:$C,2,0),""))</f>
        <v/>
      </c>
      <c r="D48" s="9"/>
      <c r="E48" s="14"/>
      <c r="F48" s="7"/>
      <c r="G48" s="14"/>
      <c r="H48" s="15" t="str">
        <f t="shared" si="2"/>
        <v/>
      </c>
      <c r="I48" s="16" t="str">
        <f t="shared" si="3"/>
        <v/>
      </c>
      <c r="J48" s="8"/>
    </row>
    <row r="49" spans="2:10" x14ac:dyDescent="0.25">
      <c r="B49" s="10"/>
      <c r="C49" s="17" t="str">
        <f>IF(B49="","",IFERROR(VLOOKUP(B49,'Cadastro de Produtos'!$B:$C,2,0),""))</f>
        <v/>
      </c>
      <c r="D49" s="12"/>
      <c r="E49" s="18"/>
      <c r="F49" s="10"/>
      <c r="G49" s="18"/>
      <c r="H49" s="19" t="str">
        <f t="shared" si="2"/>
        <v/>
      </c>
      <c r="I49" s="20" t="str">
        <f t="shared" si="3"/>
        <v/>
      </c>
      <c r="J49" s="11"/>
    </row>
    <row r="50" spans="2:10" x14ac:dyDescent="0.25">
      <c r="B50" s="7"/>
      <c r="C50" s="13" t="str">
        <f>IF(B50="","",IFERROR(VLOOKUP(B50,'Cadastro de Produtos'!$B:$C,2,0),""))</f>
        <v/>
      </c>
      <c r="D50" s="9"/>
      <c r="E50" s="14"/>
      <c r="F50" s="7"/>
      <c r="G50" s="14"/>
      <c r="H50" s="15" t="str">
        <f t="shared" si="2"/>
        <v/>
      </c>
      <c r="I50" s="16" t="str">
        <f t="shared" si="3"/>
        <v/>
      </c>
      <c r="J50" s="8"/>
    </row>
    <row r="51" spans="2:10" x14ac:dyDescent="0.25">
      <c r="B51" s="10"/>
      <c r="C51" s="17" t="str">
        <f>IF(B51="","",IFERROR(VLOOKUP(B51,'Cadastro de Produtos'!$B:$C,2,0),""))</f>
        <v/>
      </c>
      <c r="D51" s="12"/>
      <c r="E51" s="18"/>
      <c r="F51" s="10"/>
      <c r="G51" s="18"/>
      <c r="H51" s="19" t="str">
        <f t="shared" si="2"/>
        <v/>
      </c>
      <c r="I51" s="20" t="str">
        <f t="shared" si="3"/>
        <v/>
      </c>
      <c r="J51" s="11"/>
    </row>
    <row r="52" spans="2:10" x14ac:dyDescent="0.25">
      <c r="B52" s="7"/>
      <c r="C52" s="13" t="str">
        <f>IF(B52="","",IFERROR(VLOOKUP(B52,'Cadastro de Produtos'!$B:$C,2,0),""))</f>
        <v/>
      </c>
      <c r="D52" s="9"/>
      <c r="E52" s="14"/>
      <c r="F52" s="7"/>
      <c r="G52" s="14"/>
      <c r="H52" s="15" t="str">
        <f t="shared" si="2"/>
        <v/>
      </c>
      <c r="I52" s="16" t="str">
        <f t="shared" si="3"/>
        <v/>
      </c>
      <c r="J52" s="8"/>
    </row>
    <row r="53" spans="2:10" x14ac:dyDescent="0.25">
      <c r="B53" s="10"/>
      <c r="C53" s="17" t="str">
        <f>IF(B53="","",IFERROR(VLOOKUP(B53,'Cadastro de Produtos'!$B:$C,2,0),""))</f>
        <v/>
      </c>
      <c r="D53" s="12"/>
      <c r="E53" s="18"/>
      <c r="F53" s="10"/>
      <c r="G53" s="18"/>
      <c r="H53" s="19" t="str">
        <f t="shared" si="2"/>
        <v/>
      </c>
      <c r="I53" s="20" t="str">
        <f t="shared" si="3"/>
        <v/>
      </c>
      <c r="J53" s="11"/>
    </row>
    <row r="54" spans="2:10" x14ac:dyDescent="0.25">
      <c r="B54" s="7"/>
      <c r="C54" s="13" t="str">
        <f>IF(B54="","",IFERROR(VLOOKUP(B54,'Cadastro de Produtos'!$B:$C,2,0),""))</f>
        <v/>
      </c>
      <c r="D54" s="9"/>
      <c r="E54" s="14"/>
      <c r="F54" s="7"/>
      <c r="G54" s="14"/>
      <c r="H54" s="15" t="str">
        <f t="shared" si="2"/>
        <v/>
      </c>
      <c r="I54" s="16" t="str">
        <f t="shared" si="3"/>
        <v/>
      </c>
      <c r="J54" s="8"/>
    </row>
    <row r="55" spans="2:10" x14ac:dyDescent="0.25">
      <c r="B55" s="10"/>
      <c r="C55" s="17" t="str">
        <f>IF(B55="","",IFERROR(VLOOKUP(B55,'Cadastro de Produtos'!$B:$C,2,0),""))</f>
        <v/>
      </c>
      <c r="D55" s="12"/>
      <c r="E55" s="18"/>
      <c r="F55" s="10"/>
      <c r="G55" s="18"/>
      <c r="H55" s="19" t="str">
        <f t="shared" si="2"/>
        <v/>
      </c>
      <c r="I55" s="20" t="str">
        <f t="shared" si="3"/>
        <v/>
      </c>
      <c r="J55" s="11"/>
    </row>
    <row r="56" spans="2:10" x14ac:dyDescent="0.25">
      <c r="B56" s="7"/>
      <c r="C56" s="13" t="str">
        <f>IF(B56="","",IFERROR(VLOOKUP(B56,'Cadastro de Produtos'!$B:$C,2,0),""))</f>
        <v/>
      </c>
      <c r="D56" s="9"/>
      <c r="E56" s="14"/>
      <c r="F56" s="7"/>
      <c r="G56" s="14"/>
      <c r="H56" s="15" t="str">
        <f t="shared" si="2"/>
        <v/>
      </c>
      <c r="I56" s="16" t="str">
        <f t="shared" si="3"/>
        <v/>
      </c>
      <c r="J56" s="8"/>
    </row>
    <row r="57" spans="2:10" x14ac:dyDescent="0.25">
      <c r="B57" s="10"/>
      <c r="C57" s="17" t="str">
        <f>IF(B57="","",IFERROR(VLOOKUP(B57,'Cadastro de Produtos'!$B:$C,2,0),""))</f>
        <v/>
      </c>
      <c r="D57" s="12"/>
      <c r="E57" s="18"/>
      <c r="F57" s="10"/>
      <c r="G57" s="18"/>
      <c r="H57" s="19" t="str">
        <f t="shared" si="2"/>
        <v/>
      </c>
      <c r="I57" s="20" t="str">
        <f t="shared" si="3"/>
        <v/>
      </c>
      <c r="J57" s="11"/>
    </row>
    <row r="58" spans="2:10" x14ac:dyDescent="0.25">
      <c r="B58" s="7"/>
      <c r="C58" s="13" t="str">
        <f>IF(B58="","",IFERROR(VLOOKUP(B58,'Cadastro de Produtos'!$B:$C,2,0),""))</f>
        <v/>
      </c>
      <c r="D58" s="9"/>
      <c r="E58" s="14"/>
      <c r="F58" s="7"/>
      <c r="G58" s="14"/>
      <c r="H58" s="15" t="str">
        <f t="shared" si="2"/>
        <v/>
      </c>
      <c r="I58" s="16" t="str">
        <f t="shared" si="3"/>
        <v/>
      </c>
      <c r="J58" s="8"/>
    </row>
    <row r="59" spans="2:10" x14ac:dyDescent="0.25">
      <c r="B59" s="10"/>
      <c r="C59" s="17" t="str">
        <f>IF(B59="","",IFERROR(VLOOKUP(B59,'Cadastro de Produtos'!$B:$C,2,0),""))</f>
        <v/>
      </c>
      <c r="D59" s="12"/>
      <c r="E59" s="18"/>
      <c r="F59" s="10"/>
      <c r="G59" s="18"/>
      <c r="H59" s="19" t="str">
        <f t="shared" si="2"/>
        <v/>
      </c>
      <c r="I59" s="20" t="str">
        <f t="shared" si="3"/>
        <v/>
      </c>
      <c r="J59" s="11"/>
    </row>
    <row r="60" spans="2:10" x14ac:dyDescent="0.25">
      <c r="B60" s="7"/>
      <c r="C60" s="13" t="str">
        <f>IF(B60="","",IFERROR(VLOOKUP(B60,'Cadastro de Produtos'!$B:$C,2,0),""))</f>
        <v/>
      </c>
      <c r="D60" s="9"/>
      <c r="E60" s="14"/>
      <c r="F60" s="7"/>
      <c r="G60" s="14"/>
      <c r="H60" s="15" t="str">
        <f t="shared" si="2"/>
        <v/>
      </c>
      <c r="I60" s="16" t="str">
        <f t="shared" si="3"/>
        <v/>
      </c>
      <c r="J60" s="8"/>
    </row>
    <row r="61" spans="2:10" x14ac:dyDescent="0.25">
      <c r="B61" s="10"/>
      <c r="C61" s="17" t="str">
        <f>IF(B61="","",IFERROR(VLOOKUP(B61,'Cadastro de Produtos'!$B:$C,2,0),""))</f>
        <v/>
      </c>
      <c r="D61" s="12"/>
      <c r="E61" s="18"/>
      <c r="F61" s="10"/>
      <c r="G61" s="18"/>
      <c r="H61" s="19" t="str">
        <f t="shared" si="2"/>
        <v/>
      </c>
      <c r="I61" s="20" t="str">
        <f t="shared" si="3"/>
        <v/>
      </c>
      <c r="J61" s="11"/>
    </row>
    <row r="62" spans="2:10" x14ac:dyDescent="0.25">
      <c r="B62" s="7"/>
      <c r="C62" s="13" t="str">
        <f>IF(B62="","",IFERROR(VLOOKUP(B62,'Cadastro de Produtos'!$B:$C,2,0),""))</f>
        <v/>
      </c>
      <c r="D62" s="9"/>
      <c r="E62" s="14"/>
      <c r="F62" s="7"/>
      <c r="G62" s="14"/>
      <c r="H62" s="15" t="str">
        <f t="shared" si="2"/>
        <v/>
      </c>
      <c r="I62" s="16" t="str">
        <f t="shared" si="3"/>
        <v/>
      </c>
      <c r="J62" s="8"/>
    </row>
    <row r="63" spans="2:10" x14ac:dyDescent="0.25">
      <c r="B63" s="10"/>
      <c r="C63" s="17" t="str">
        <f>IF(B63="","",IFERROR(VLOOKUP(B63,'Cadastro de Produtos'!$B:$C,2,0),""))</f>
        <v/>
      </c>
      <c r="D63" s="12"/>
      <c r="E63" s="18"/>
      <c r="F63" s="10"/>
      <c r="G63" s="18"/>
      <c r="H63" s="19" t="str">
        <f t="shared" si="2"/>
        <v/>
      </c>
      <c r="I63" s="20" t="str">
        <f t="shared" si="3"/>
        <v/>
      </c>
      <c r="J63" s="11"/>
    </row>
    <row r="64" spans="2:10" x14ac:dyDescent="0.25">
      <c r="B64" s="7"/>
      <c r="C64" s="13" t="str">
        <f>IF(B64="","",IFERROR(VLOOKUP(B64,'Cadastro de Produtos'!$B:$C,2,0),""))</f>
        <v/>
      </c>
      <c r="D64" s="9"/>
      <c r="E64" s="14"/>
      <c r="F64" s="7"/>
      <c r="G64" s="14"/>
      <c r="H64" s="15" t="str">
        <f t="shared" si="2"/>
        <v/>
      </c>
      <c r="I64" s="16" t="str">
        <f t="shared" si="3"/>
        <v/>
      </c>
      <c r="J64" s="8"/>
    </row>
    <row r="65" spans="2:10" x14ac:dyDescent="0.25">
      <c r="B65" s="10"/>
      <c r="C65" s="17" t="str">
        <f>IF(B65="","",IFERROR(VLOOKUP(B65,'Cadastro de Produtos'!$B:$C,2,0),""))</f>
        <v/>
      </c>
      <c r="D65" s="12"/>
      <c r="E65" s="18"/>
      <c r="F65" s="10"/>
      <c r="G65" s="18"/>
      <c r="H65" s="19" t="str">
        <f t="shared" si="2"/>
        <v/>
      </c>
      <c r="I65" s="20" t="str">
        <f t="shared" si="3"/>
        <v/>
      </c>
      <c r="J65" s="11"/>
    </row>
  </sheetData>
  <sheetProtection sheet="1" autoFilter="0"/>
  <mergeCells count="2">
    <mergeCell ref="B2:J2"/>
    <mergeCell ref="B3:J3"/>
  </mergeCells>
  <conditionalFormatting sqref="B6:J65">
    <cfRule type="expression" dxfId="5" priority="2">
      <formula>$J6="✅ Sim"</formula>
    </cfRule>
    <cfRule type="expression" dxfId="4" priority="3">
      <formula>AND($H6&lt;&gt;"",$H6&gt;0)</formula>
    </cfRule>
    <cfRule type="expression" dxfId="3" priority="4">
      <formula>AND($H6&lt;&gt;"",$H6&lt;0)</formula>
    </cfRule>
  </conditionalFormatting>
  <dataValidations count="1">
    <dataValidation type="list" allowBlank="1" showErrorMessage="1" errorTitle="Opção inválida" error="Escolha uma opção da lista suspensa." sqref="J6:J65" xr:uid="{00000000-0002-0000-0D00-000002000000}">
      <formula1>"❌ Não,✅ Sim"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Produto inválido" error="Escolha um produto da lista suspensa. Se não aparece, cadastre-o primeiro na aba Cadastro de Produtos." xr:uid="{00000000-0002-0000-0D00-000000000000}">
          <x14:formula1>
            <xm:f>'Cadastro de Produtos'!$B$6:$B$65</xm:f>
          </x14:formula1>
          <x14:formula2>
            <xm:f>0</xm:f>
          </x14:formula2>
          <xm:sqref>B6:B65</xm:sqref>
        </x14:dataValidation>
        <x14:dataValidation type="list" allowBlank="1" showErrorMessage="1" errorTitle="Mercado inválido" error="Escolha um mercado da lista suspensa. Se não aparece, cadastre-o primeiro na aba Cadastro de Produtos." xr:uid="{00000000-0002-0000-0D00-000001000000}">
          <x14:formula1>
            <xm:f>'Cadastro de Produtos'!$F$6:$F$25</xm:f>
          </x14:formula1>
          <x14:formula2>
            <xm:f>0</xm:f>
          </x14:formula2>
          <xm:sqref>F6:F65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I65"/>
  <sheetViews>
    <sheetView showGridLines="0" zoomScaleNormal="100" workbookViewId="0">
      <pane ySplit="5" topLeftCell="A6" activePane="bottomLeft" state="frozen"/>
      <selection pane="bottomLeft" activeCell="M6" sqref="M6"/>
    </sheetView>
  </sheetViews>
  <sheetFormatPr defaultColWidth="8.7109375" defaultRowHeight="15" x14ac:dyDescent="0.25"/>
  <cols>
    <col min="1" max="1" width="2" customWidth="1"/>
    <col min="2" max="2" width="6" customWidth="1"/>
    <col min="3" max="3" width="30" customWidth="1"/>
    <col min="4" max="4" width="12" customWidth="1"/>
    <col min="5" max="6" width="14" customWidth="1"/>
    <col min="7" max="7" width="2" customWidth="1"/>
    <col min="8" max="8" width="10" hidden="1" customWidth="1"/>
    <col min="9" max="9" width="6" hidden="1" customWidth="1"/>
  </cols>
  <sheetData>
    <row r="1" spans="2:9" ht="15.75" thickBot="1" x14ac:dyDescent="0.3"/>
    <row r="2" spans="2:9" ht="27.75" customHeight="1" x14ac:dyDescent="0.25">
      <c r="B2" s="69" t="str">
        <f ca="1">"🖨️  LISTA DE PRODUTOS — "&amp;UPPER($D$3)</f>
        <v>🖨️  LISTA DE PRODUTOS — AGOSTO</v>
      </c>
      <c r="C2" s="70"/>
      <c r="D2" s="70"/>
      <c r="E2" s="70"/>
      <c r="F2" s="71"/>
    </row>
    <row r="3" spans="2:9" ht="24" customHeight="1" thickBot="1" x14ac:dyDescent="0.3">
      <c r="B3" s="72" t="s">
        <v>75</v>
      </c>
      <c r="C3" s="73"/>
      <c r="D3" s="74" t="str">
        <f ca="1">CHOOSE(MONTH(TODAY()),"Janeiro","Fevereiro","Março","Abril","Maio","Junho","Julho","Agosto","Setembro","Outubro","Novembro","Dezembro")</f>
        <v>Agosto</v>
      </c>
      <c r="E3" s="75" t="s">
        <v>76</v>
      </c>
      <c r="F3" s="76"/>
      <c r="H3" t="str">
        <f ca="1">IF(MONTH(TODAY())=1,"",CHOOSE(MONTH(TODAY())-1,"Janeiro","Fevereiro","Março","Abril","Maio","Junho","Julho","Agosto","Setembro","Outubro","Novembro"))</f>
        <v>Julho</v>
      </c>
    </row>
    <row r="4" spans="2:9" ht="15.75" thickBot="1" x14ac:dyDescent="0.3"/>
    <row r="5" spans="2:9" ht="24" x14ac:dyDescent="0.25">
      <c r="B5" s="77" t="s">
        <v>77</v>
      </c>
      <c r="C5" s="78" t="s">
        <v>38</v>
      </c>
      <c r="D5" s="78" t="s">
        <v>78</v>
      </c>
      <c r="E5" s="78" t="s">
        <v>79</v>
      </c>
      <c r="F5" s="79" t="s">
        <v>80</v>
      </c>
      <c r="H5" s="6" t="s">
        <v>81</v>
      </c>
      <c r="I5" s="6" t="s">
        <v>82</v>
      </c>
    </row>
    <row r="6" spans="2:9" ht="19.5" customHeight="1" x14ac:dyDescent="0.25">
      <c r="B6" s="80">
        <f ca="1">IF(I6="","",1)</f>
        <v>1</v>
      </c>
      <c r="C6" s="21" t="str">
        <f ca="1">IF(I6="","",INDEX('Cadastro de Produtos'!$B$6:$B$65,I6-6+1))</f>
        <v>Arroz 5kg</v>
      </c>
      <c r="D6" s="22">
        <f t="shared" ref="D6:D37" ca="1" si="0">IF(I6="","",INDEX($H$6:$H$65,I6-6+1))</f>
        <v>1</v>
      </c>
      <c r="E6" s="23" t="str">
        <f t="shared" ref="E6:E37" ca="1" si="1">IF(C6="","",IF(IFERROR(VLOOKUP(C6,INDIRECT("'"&amp;$D$3&amp;"'!B:E"),4,0),"")&lt;&gt;"",IFERROR(VLOOKUP(C6,INDIRECT("'"&amp;$D$3&amp;"'!B:E"),4,0),""),IF($H$3="","",IFERROR(VLOOKUP(C6,INDIRECT("'"&amp;$H$3&amp;"'!B:E"),4,0),""))))</f>
        <v/>
      </c>
      <c r="F6" s="81"/>
      <c r="H6" s="24">
        <f ca="1">IF('Cadastro de Produtos'!B6="",-1,'Cadastro de Produtos'!D6-SUMIFS(INDIRECT("'"&amp;$D$3&amp;"'!D:D"),INDIRECT("'"&amp;$D$3&amp;"'!B:B"),'Cadastro de Produtos'!B6,INDIRECT("'"&amp;$D$3&amp;"'!J:J"),"✅ Sim"))</f>
        <v>1</v>
      </c>
      <c r="I6" s="25">
        <f ca="1">IFERROR(_xlfn.AGGREGATE(15,6,(ROW($H$6:$H$65))/($H$6:$H$65&gt;0),1),"")</f>
        <v>6</v>
      </c>
    </row>
    <row r="7" spans="2:9" ht="19.5" customHeight="1" x14ac:dyDescent="0.25">
      <c r="B7" s="82">
        <f ca="1">IF(I7="","",2)</f>
        <v>2</v>
      </c>
      <c r="C7" s="26" t="str">
        <f ca="1">IF(I7="","",INDEX('Cadastro de Produtos'!$B$6:$B$65,I7-6+1))</f>
        <v>Leite Integral 1L</v>
      </c>
      <c r="D7" s="27">
        <f t="shared" ca="1" si="0"/>
        <v>6</v>
      </c>
      <c r="E7" s="28">
        <f t="shared" ca="1" si="1"/>
        <v>5</v>
      </c>
      <c r="F7" s="83"/>
      <c r="H7" s="24">
        <f ca="1">IF('Cadastro de Produtos'!B7="",-1,'Cadastro de Produtos'!D7-SUMIFS(INDIRECT("'"&amp;$D$3&amp;"'!D:D"),INDIRECT("'"&amp;$D$3&amp;"'!B:B"),'Cadastro de Produtos'!B7,INDIRECT("'"&amp;$D$3&amp;"'!J:J"),"✅ Sim"))</f>
        <v>6</v>
      </c>
      <c r="I7" s="25">
        <f ca="1">IFERROR(_xlfn.AGGREGATE(15,6,(ROW($H$6:$H$65))/($H$6:$H$65&gt;0),2),"")</f>
        <v>7</v>
      </c>
    </row>
    <row r="8" spans="2:9" ht="19.5" customHeight="1" x14ac:dyDescent="0.25">
      <c r="B8" s="80">
        <f ca="1">IF(I8="","",3)</f>
        <v>3</v>
      </c>
      <c r="C8" s="21" t="str">
        <f ca="1">IF(I8="","",INDEX('Cadastro de Produtos'!$B$6:$B$65,I8-6+1))</f>
        <v>Sabão em Pó</v>
      </c>
      <c r="D8" s="22">
        <f t="shared" ca="1" si="0"/>
        <v>2</v>
      </c>
      <c r="E8" s="23" t="str">
        <f t="shared" ca="1" si="1"/>
        <v/>
      </c>
      <c r="F8" s="81"/>
      <c r="H8" s="24">
        <f ca="1">IF('Cadastro de Produtos'!B8="",-1,'Cadastro de Produtos'!D8-SUMIFS(INDIRECT("'"&amp;$D$3&amp;"'!D:D"),INDIRECT("'"&amp;$D$3&amp;"'!B:B"),'Cadastro de Produtos'!B8,INDIRECT("'"&amp;$D$3&amp;"'!J:J"),"✅ Sim"))</f>
        <v>2</v>
      </c>
      <c r="I8" s="25">
        <f ca="1">IFERROR(_xlfn.AGGREGATE(15,6,(ROW($H$6:$H$65))/($H$6:$H$65&gt;0),3),"")</f>
        <v>8</v>
      </c>
    </row>
    <row r="9" spans="2:9" ht="19.5" customHeight="1" x14ac:dyDescent="0.25">
      <c r="B9" s="82">
        <f ca="1">IF(I9="","",4)</f>
        <v>4</v>
      </c>
      <c r="C9" s="26" t="str">
        <f ca="1">IF(I9="","",INDEX('Cadastro de Produtos'!$B$6:$B$65,I9-6+1))</f>
        <v>Banana (kg)</v>
      </c>
      <c r="D9" s="27">
        <f t="shared" ca="1" si="0"/>
        <v>2</v>
      </c>
      <c r="E9" s="28" t="str">
        <f t="shared" ca="1" si="1"/>
        <v/>
      </c>
      <c r="F9" s="83"/>
      <c r="H9" s="24">
        <f ca="1">IF('Cadastro de Produtos'!B9="",-1,'Cadastro de Produtos'!D9-SUMIFS(INDIRECT("'"&amp;$D$3&amp;"'!D:D"),INDIRECT("'"&amp;$D$3&amp;"'!B:B"),'Cadastro de Produtos'!B9,INDIRECT("'"&amp;$D$3&amp;"'!J:J"),"✅ Sim"))</f>
        <v>2</v>
      </c>
      <c r="I9" s="25">
        <f ca="1">IFERROR(_xlfn.AGGREGATE(15,6,(ROW($H$6:$H$65))/($H$6:$H$65&gt;0),4),"")</f>
        <v>9</v>
      </c>
    </row>
    <row r="10" spans="2:9" ht="19.5" customHeight="1" x14ac:dyDescent="0.25">
      <c r="B10" s="80">
        <f ca="1">IF(I10="","",5)</f>
        <v>5</v>
      </c>
      <c r="C10" s="21" t="str">
        <f ca="1">IF(I10="","",INDEX('Cadastro de Produtos'!$B$6:$B$65,I10-6+1))</f>
        <v>Frango (kg)</v>
      </c>
      <c r="D10" s="22">
        <f t="shared" ca="1" si="0"/>
        <v>1.5</v>
      </c>
      <c r="E10" s="23" t="str">
        <f t="shared" ca="1" si="1"/>
        <v/>
      </c>
      <c r="F10" s="81"/>
      <c r="H10" s="24">
        <f ca="1">IF('Cadastro de Produtos'!B10="",-1,'Cadastro de Produtos'!D10-SUMIFS(INDIRECT("'"&amp;$D$3&amp;"'!D:D"),INDIRECT("'"&amp;$D$3&amp;"'!B:B"),'Cadastro de Produtos'!B10,INDIRECT("'"&amp;$D$3&amp;"'!J:J"),"✅ Sim"))</f>
        <v>1.5</v>
      </c>
      <c r="I10" s="25">
        <f ca="1">IFERROR(_xlfn.AGGREGATE(15,6,(ROW($H$6:$H$65))/($H$6:$H$65&gt;0),5),"")</f>
        <v>10</v>
      </c>
    </row>
    <row r="11" spans="2:9" ht="19.5" customHeight="1" x14ac:dyDescent="0.25">
      <c r="B11" s="82">
        <f ca="1">IF(I11="","",6)</f>
        <v>6</v>
      </c>
      <c r="C11" s="26" t="str">
        <f ca="1">IF(I11="","",INDEX('Cadastro de Produtos'!$B$6:$B$65,I11-6+1))</f>
        <v>uva (kg)</v>
      </c>
      <c r="D11" s="27">
        <f t="shared" ca="1" si="0"/>
        <v>2</v>
      </c>
      <c r="E11" s="28" t="str">
        <f t="shared" ca="1" si="1"/>
        <v/>
      </c>
      <c r="F11" s="83"/>
      <c r="H11" s="24">
        <f ca="1">IF('Cadastro de Produtos'!B11="",-1,'Cadastro de Produtos'!D11-SUMIFS(INDIRECT("'"&amp;$D$3&amp;"'!D:D"),INDIRECT("'"&amp;$D$3&amp;"'!B:B"),'Cadastro de Produtos'!B11,INDIRECT("'"&amp;$D$3&amp;"'!J:J"),"✅ Sim"))</f>
        <v>2</v>
      </c>
      <c r="I11" s="25">
        <f ca="1">IFERROR(_xlfn.AGGREGATE(15,6,(ROW($H$6:$H$65))/($H$6:$H$65&gt;0),6),"")</f>
        <v>11</v>
      </c>
    </row>
    <row r="12" spans="2:9" ht="19.5" customHeight="1" x14ac:dyDescent="0.25">
      <c r="B12" s="80" t="str">
        <f ca="1">IF(I12="","",7)</f>
        <v/>
      </c>
      <c r="C12" s="21" t="str">
        <f ca="1">IF(I12="","",INDEX('Cadastro de Produtos'!$B$6:$B$65,I12-6+1))</f>
        <v/>
      </c>
      <c r="D12" s="22" t="str">
        <f t="shared" ca="1" si="0"/>
        <v/>
      </c>
      <c r="E12" s="23" t="str">
        <f t="shared" ca="1" si="1"/>
        <v/>
      </c>
      <c r="F12" s="81"/>
      <c r="H12" s="24">
        <f ca="1">IF('Cadastro de Produtos'!B12="",-1,'Cadastro de Produtos'!D12-SUMIFS(INDIRECT("'"&amp;$D$3&amp;"'!D:D"),INDIRECT("'"&amp;$D$3&amp;"'!B:B"),'Cadastro de Produtos'!B12,INDIRECT("'"&amp;$D$3&amp;"'!J:J"),"✅ Sim"))</f>
        <v>-1</v>
      </c>
      <c r="I12" s="25" t="str">
        <f ca="1">IFERROR(_xlfn.AGGREGATE(15,6,(ROW($H$6:$H$65))/($H$6:$H$65&gt;0),7),"")</f>
        <v/>
      </c>
    </row>
    <row r="13" spans="2:9" ht="19.5" customHeight="1" x14ac:dyDescent="0.25">
      <c r="B13" s="82" t="str">
        <f ca="1">IF(I13="","",8)</f>
        <v/>
      </c>
      <c r="C13" s="26" t="str">
        <f ca="1">IF(I13="","",INDEX('Cadastro de Produtos'!$B$6:$B$65,I13-6+1))</f>
        <v/>
      </c>
      <c r="D13" s="27" t="str">
        <f t="shared" ca="1" si="0"/>
        <v/>
      </c>
      <c r="E13" s="28" t="str">
        <f t="shared" ca="1" si="1"/>
        <v/>
      </c>
      <c r="F13" s="83"/>
      <c r="H13" s="24">
        <f ca="1">IF('Cadastro de Produtos'!B13="",-1,'Cadastro de Produtos'!D13-SUMIFS(INDIRECT("'"&amp;$D$3&amp;"'!D:D"),INDIRECT("'"&amp;$D$3&amp;"'!B:B"),'Cadastro de Produtos'!B13,INDIRECT("'"&amp;$D$3&amp;"'!J:J"),"✅ Sim"))</f>
        <v>-1</v>
      </c>
      <c r="I13" s="25" t="str">
        <f ca="1">IFERROR(_xlfn.AGGREGATE(15,6,(ROW($H$6:$H$65))/($H$6:$H$65&gt;0),8),"")</f>
        <v/>
      </c>
    </row>
    <row r="14" spans="2:9" ht="19.5" customHeight="1" x14ac:dyDescent="0.25">
      <c r="B14" s="80" t="str">
        <f ca="1">IF(I14="","",9)</f>
        <v/>
      </c>
      <c r="C14" s="21" t="str">
        <f ca="1">IF(I14="","",INDEX('Cadastro de Produtos'!$B$6:$B$65,I14-6+1))</f>
        <v/>
      </c>
      <c r="D14" s="22" t="str">
        <f t="shared" ca="1" si="0"/>
        <v/>
      </c>
      <c r="E14" s="23" t="str">
        <f t="shared" ca="1" si="1"/>
        <v/>
      </c>
      <c r="F14" s="81"/>
      <c r="H14" s="24">
        <f ca="1">IF('Cadastro de Produtos'!B14="",-1,'Cadastro de Produtos'!D14-SUMIFS(INDIRECT("'"&amp;$D$3&amp;"'!D:D"),INDIRECT("'"&amp;$D$3&amp;"'!B:B"),'Cadastro de Produtos'!B14,INDIRECT("'"&amp;$D$3&amp;"'!J:J"),"✅ Sim"))</f>
        <v>-1</v>
      </c>
      <c r="I14" s="25" t="str">
        <f ca="1">IFERROR(_xlfn.AGGREGATE(15,6,(ROW($H$6:$H$65))/($H$6:$H$65&gt;0),9),"")</f>
        <v/>
      </c>
    </row>
    <row r="15" spans="2:9" ht="19.5" customHeight="1" x14ac:dyDescent="0.25">
      <c r="B15" s="82" t="str">
        <f ca="1">IF(I15="","",10)</f>
        <v/>
      </c>
      <c r="C15" s="26" t="str">
        <f ca="1">IF(I15="","",INDEX('Cadastro de Produtos'!$B$6:$B$65,I15-6+1))</f>
        <v/>
      </c>
      <c r="D15" s="27" t="str">
        <f t="shared" ca="1" si="0"/>
        <v/>
      </c>
      <c r="E15" s="28" t="str">
        <f t="shared" ca="1" si="1"/>
        <v/>
      </c>
      <c r="F15" s="83"/>
      <c r="H15" s="24">
        <f ca="1">IF('Cadastro de Produtos'!B15="",-1,'Cadastro de Produtos'!D15-SUMIFS(INDIRECT("'"&amp;$D$3&amp;"'!D:D"),INDIRECT("'"&amp;$D$3&amp;"'!B:B"),'Cadastro de Produtos'!B15,INDIRECT("'"&amp;$D$3&amp;"'!J:J"),"✅ Sim"))</f>
        <v>-1</v>
      </c>
      <c r="I15" s="25" t="str">
        <f ca="1">IFERROR(_xlfn.AGGREGATE(15,6,(ROW($H$6:$H$65))/($H$6:$H$65&gt;0),10),"")</f>
        <v/>
      </c>
    </row>
    <row r="16" spans="2:9" ht="19.5" customHeight="1" x14ac:dyDescent="0.25">
      <c r="B16" s="80" t="str">
        <f ca="1">IF(I16="","",11)</f>
        <v/>
      </c>
      <c r="C16" s="21" t="str">
        <f ca="1">IF(I16="","",INDEX('Cadastro de Produtos'!$B$6:$B$65,I16-6+1))</f>
        <v/>
      </c>
      <c r="D16" s="22" t="str">
        <f t="shared" ca="1" si="0"/>
        <v/>
      </c>
      <c r="E16" s="23" t="str">
        <f t="shared" ca="1" si="1"/>
        <v/>
      </c>
      <c r="F16" s="81"/>
      <c r="H16" s="24">
        <f ca="1">IF('Cadastro de Produtos'!B16="",-1,'Cadastro de Produtos'!D16-SUMIFS(INDIRECT("'"&amp;$D$3&amp;"'!D:D"),INDIRECT("'"&amp;$D$3&amp;"'!B:B"),'Cadastro de Produtos'!B16,INDIRECT("'"&amp;$D$3&amp;"'!J:J"),"✅ Sim"))</f>
        <v>-1</v>
      </c>
      <c r="I16" s="25" t="str">
        <f ca="1">IFERROR(_xlfn.AGGREGATE(15,6,(ROW($H$6:$H$65))/($H$6:$H$65&gt;0),11),"")</f>
        <v/>
      </c>
    </row>
    <row r="17" spans="2:9" ht="19.5" customHeight="1" x14ac:dyDescent="0.25">
      <c r="B17" s="82" t="str">
        <f ca="1">IF(I17="","",12)</f>
        <v/>
      </c>
      <c r="C17" s="26" t="str">
        <f ca="1">IF(I17="","",INDEX('Cadastro de Produtos'!$B$6:$B$65,I17-6+1))</f>
        <v/>
      </c>
      <c r="D17" s="27" t="str">
        <f t="shared" ca="1" si="0"/>
        <v/>
      </c>
      <c r="E17" s="28" t="str">
        <f t="shared" ca="1" si="1"/>
        <v/>
      </c>
      <c r="F17" s="83"/>
      <c r="H17" s="24">
        <f ca="1">IF('Cadastro de Produtos'!B17="",-1,'Cadastro de Produtos'!D17-SUMIFS(INDIRECT("'"&amp;$D$3&amp;"'!D:D"),INDIRECT("'"&amp;$D$3&amp;"'!B:B"),'Cadastro de Produtos'!B17,INDIRECT("'"&amp;$D$3&amp;"'!J:J"),"✅ Sim"))</f>
        <v>-1</v>
      </c>
      <c r="I17" s="25" t="str">
        <f ca="1">IFERROR(_xlfn.AGGREGATE(15,6,(ROW($H$6:$H$65))/($H$6:$H$65&gt;0),12),"")</f>
        <v/>
      </c>
    </row>
    <row r="18" spans="2:9" ht="19.5" customHeight="1" x14ac:dyDescent="0.25">
      <c r="B18" s="80" t="str">
        <f ca="1">IF(I18="","",13)</f>
        <v/>
      </c>
      <c r="C18" s="21" t="str">
        <f ca="1">IF(I18="","",INDEX('Cadastro de Produtos'!$B$6:$B$65,I18-6+1))</f>
        <v/>
      </c>
      <c r="D18" s="22" t="str">
        <f t="shared" ca="1" si="0"/>
        <v/>
      </c>
      <c r="E18" s="23" t="str">
        <f t="shared" ca="1" si="1"/>
        <v/>
      </c>
      <c r="F18" s="81"/>
      <c r="H18" s="24">
        <f ca="1">IF('Cadastro de Produtos'!B18="",-1,'Cadastro de Produtos'!D18-SUMIFS(INDIRECT("'"&amp;$D$3&amp;"'!D:D"),INDIRECT("'"&amp;$D$3&amp;"'!B:B"),'Cadastro de Produtos'!B18,INDIRECT("'"&amp;$D$3&amp;"'!J:J"),"✅ Sim"))</f>
        <v>-1</v>
      </c>
      <c r="I18" s="25" t="str">
        <f ca="1">IFERROR(_xlfn.AGGREGATE(15,6,(ROW($H$6:$H$65))/($H$6:$H$65&gt;0),13),"")</f>
        <v/>
      </c>
    </row>
    <row r="19" spans="2:9" ht="19.5" customHeight="1" x14ac:dyDescent="0.25">
      <c r="B19" s="82" t="str">
        <f ca="1">IF(I19="","",14)</f>
        <v/>
      </c>
      <c r="C19" s="26" t="str">
        <f ca="1">IF(I19="","",INDEX('Cadastro de Produtos'!$B$6:$B$65,I19-6+1))</f>
        <v/>
      </c>
      <c r="D19" s="27" t="str">
        <f t="shared" ca="1" si="0"/>
        <v/>
      </c>
      <c r="E19" s="28" t="str">
        <f t="shared" ca="1" si="1"/>
        <v/>
      </c>
      <c r="F19" s="83"/>
      <c r="H19" s="24">
        <f ca="1">IF('Cadastro de Produtos'!B19="",-1,'Cadastro de Produtos'!D19-SUMIFS(INDIRECT("'"&amp;$D$3&amp;"'!D:D"),INDIRECT("'"&amp;$D$3&amp;"'!B:B"),'Cadastro de Produtos'!B19,INDIRECT("'"&amp;$D$3&amp;"'!J:J"),"✅ Sim"))</f>
        <v>-1</v>
      </c>
      <c r="I19" s="25" t="str">
        <f ca="1">IFERROR(_xlfn.AGGREGATE(15,6,(ROW($H$6:$H$65))/($H$6:$H$65&gt;0),14),"")</f>
        <v/>
      </c>
    </row>
    <row r="20" spans="2:9" ht="19.5" customHeight="1" x14ac:dyDescent="0.25">
      <c r="B20" s="80" t="str">
        <f ca="1">IF(I20="","",15)</f>
        <v/>
      </c>
      <c r="C20" s="21" t="str">
        <f ca="1">IF(I20="","",INDEX('Cadastro de Produtos'!$B$6:$B$65,I20-6+1))</f>
        <v/>
      </c>
      <c r="D20" s="22" t="str">
        <f t="shared" ca="1" si="0"/>
        <v/>
      </c>
      <c r="E20" s="23" t="str">
        <f t="shared" ca="1" si="1"/>
        <v/>
      </c>
      <c r="F20" s="81"/>
      <c r="H20" s="24">
        <f ca="1">IF('Cadastro de Produtos'!B20="",-1,'Cadastro de Produtos'!D20-SUMIFS(INDIRECT("'"&amp;$D$3&amp;"'!D:D"),INDIRECT("'"&amp;$D$3&amp;"'!B:B"),'Cadastro de Produtos'!B20,INDIRECT("'"&amp;$D$3&amp;"'!J:J"),"✅ Sim"))</f>
        <v>-1</v>
      </c>
      <c r="I20" s="25" t="str">
        <f ca="1">IFERROR(_xlfn.AGGREGATE(15,6,(ROW($H$6:$H$65))/($H$6:$H$65&gt;0),15),"")</f>
        <v/>
      </c>
    </row>
    <row r="21" spans="2:9" ht="19.5" customHeight="1" x14ac:dyDescent="0.25">
      <c r="B21" s="82" t="str">
        <f ca="1">IF(I21="","",16)</f>
        <v/>
      </c>
      <c r="C21" s="26" t="str">
        <f ca="1">IF(I21="","",INDEX('Cadastro de Produtos'!$B$6:$B$65,I21-6+1))</f>
        <v/>
      </c>
      <c r="D21" s="27" t="str">
        <f t="shared" ca="1" si="0"/>
        <v/>
      </c>
      <c r="E21" s="28" t="str">
        <f t="shared" ca="1" si="1"/>
        <v/>
      </c>
      <c r="F21" s="83"/>
      <c r="H21" s="24">
        <f ca="1">IF('Cadastro de Produtos'!B21="",-1,'Cadastro de Produtos'!D21-SUMIFS(INDIRECT("'"&amp;$D$3&amp;"'!D:D"),INDIRECT("'"&amp;$D$3&amp;"'!B:B"),'Cadastro de Produtos'!B21,INDIRECT("'"&amp;$D$3&amp;"'!J:J"),"✅ Sim"))</f>
        <v>-1</v>
      </c>
      <c r="I21" s="25" t="str">
        <f ca="1">IFERROR(_xlfn.AGGREGATE(15,6,(ROW($H$6:$H$65))/($H$6:$H$65&gt;0),16),"")</f>
        <v/>
      </c>
    </row>
    <row r="22" spans="2:9" ht="19.5" customHeight="1" x14ac:dyDescent="0.25">
      <c r="B22" s="80" t="str">
        <f ca="1">IF(I22="","",17)</f>
        <v/>
      </c>
      <c r="C22" s="21" t="str">
        <f ca="1">IF(I22="","",INDEX('Cadastro de Produtos'!$B$6:$B$65,I22-6+1))</f>
        <v/>
      </c>
      <c r="D22" s="22" t="str">
        <f t="shared" ca="1" si="0"/>
        <v/>
      </c>
      <c r="E22" s="23" t="str">
        <f t="shared" ca="1" si="1"/>
        <v/>
      </c>
      <c r="F22" s="81"/>
      <c r="H22" s="24">
        <f ca="1">IF('Cadastro de Produtos'!B22="",-1,'Cadastro de Produtos'!D22-SUMIFS(INDIRECT("'"&amp;$D$3&amp;"'!D:D"),INDIRECT("'"&amp;$D$3&amp;"'!B:B"),'Cadastro de Produtos'!B22,INDIRECT("'"&amp;$D$3&amp;"'!J:J"),"✅ Sim"))</f>
        <v>-1</v>
      </c>
      <c r="I22" s="25" t="str">
        <f ca="1">IFERROR(_xlfn.AGGREGATE(15,6,(ROW($H$6:$H$65))/($H$6:$H$65&gt;0),17),"")</f>
        <v/>
      </c>
    </row>
    <row r="23" spans="2:9" ht="19.5" customHeight="1" x14ac:dyDescent="0.25">
      <c r="B23" s="82" t="str">
        <f ca="1">IF(I23="","",18)</f>
        <v/>
      </c>
      <c r="C23" s="26" t="str">
        <f ca="1">IF(I23="","",INDEX('Cadastro de Produtos'!$B$6:$B$65,I23-6+1))</f>
        <v/>
      </c>
      <c r="D23" s="27" t="str">
        <f t="shared" ca="1" si="0"/>
        <v/>
      </c>
      <c r="E23" s="28" t="str">
        <f t="shared" ca="1" si="1"/>
        <v/>
      </c>
      <c r="F23" s="83"/>
      <c r="H23" s="24">
        <f ca="1">IF('Cadastro de Produtos'!B23="",-1,'Cadastro de Produtos'!D23-SUMIFS(INDIRECT("'"&amp;$D$3&amp;"'!D:D"),INDIRECT("'"&amp;$D$3&amp;"'!B:B"),'Cadastro de Produtos'!B23,INDIRECT("'"&amp;$D$3&amp;"'!J:J"),"✅ Sim"))</f>
        <v>-1</v>
      </c>
      <c r="I23" s="25" t="str">
        <f ca="1">IFERROR(_xlfn.AGGREGATE(15,6,(ROW($H$6:$H$65))/($H$6:$H$65&gt;0),18),"")</f>
        <v/>
      </c>
    </row>
    <row r="24" spans="2:9" ht="19.5" customHeight="1" x14ac:dyDescent="0.25">
      <c r="B24" s="80" t="str">
        <f ca="1">IF(I24="","",19)</f>
        <v/>
      </c>
      <c r="C24" s="21" t="str">
        <f ca="1">IF(I24="","",INDEX('Cadastro de Produtos'!$B$6:$B$65,I24-6+1))</f>
        <v/>
      </c>
      <c r="D24" s="22" t="str">
        <f t="shared" ca="1" si="0"/>
        <v/>
      </c>
      <c r="E24" s="23" t="str">
        <f t="shared" ca="1" si="1"/>
        <v/>
      </c>
      <c r="F24" s="81"/>
      <c r="H24" s="24">
        <f ca="1">IF('Cadastro de Produtos'!B24="",-1,'Cadastro de Produtos'!D24-SUMIFS(INDIRECT("'"&amp;$D$3&amp;"'!D:D"),INDIRECT("'"&amp;$D$3&amp;"'!B:B"),'Cadastro de Produtos'!B24,INDIRECT("'"&amp;$D$3&amp;"'!J:J"),"✅ Sim"))</f>
        <v>-1</v>
      </c>
      <c r="I24" s="25" t="str">
        <f ca="1">IFERROR(_xlfn.AGGREGATE(15,6,(ROW($H$6:$H$65))/($H$6:$H$65&gt;0),19),"")</f>
        <v/>
      </c>
    </row>
    <row r="25" spans="2:9" ht="19.5" customHeight="1" x14ac:dyDescent="0.25">
      <c r="B25" s="82" t="str">
        <f ca="1">IF(I25="","",20)</f>
        <v/>
      </c>
      <c r="C25" s="26" t="str">
        <f ca="1">IF(I25="","",INDEX('Cadastro de Produtos'!$B$6:$B$65,I25-6+1))</f>
        <v/>
      </c>
      <c r="D25" s="27" t="str">
        <f t="shared" ca="1" si="0"/>
        <v/>
      </c>
      <c r="E25" s="28" t="str">
        <f t="shared" ca="1" si="1"/>
        <v/>
      </c>
      <c r="F25" s="83"/>
      <c r="H25" s="24">
        <f ca="1">IF('Cadastro de Produtos'!B25="",-1,'Cadastro de Produtos'!D25-SUMIFS(INDIRECT("'"&amp;$D$3&amp;"'!D:D"),INDIRECT("'"&amp;$D$3&amp;"'!B:B"),'Cadastro de Produtos'!B25,INDIRECT("'"&amp;$D$3&amp;"'!J:J"),"✅ Sim"))</f>
        <v>-1</v>
      </c>
      <c r="I25" s="25" t="str">
        <f ca="1">IFERROR(_xlfn.AGGREGATE(15,6,(ROW($H$6:$H$65))/($H$6:$H$65&gt;0),20),"")</f>
        <v/>
      </c>
    </row>
    <row r="26" spans="2:9" ht="19.5" customHeight="1" x14ac:dyDescent="0.25">
      <c r="B26" s="80" t="str">
        <f ca="1">IF(I26="","",21)</f>
        <v/>
      </c>
      <c r="C26" s="21" t="str">
        <f ca="1">IF(I26="","",INDEX('Cadastro de Produtos'!$B$6:$B$65,I26-6+1))</f>
        <v/>
      </c>
      <c r="D26" s="22" t="str">
        <f t="shared" ca="1" si="0"/>
        <v/>
      </c>
      <c r="E26" s="23" t="str">
        <f t="shared" ca="1" si="1"/>
        <v/>
      </c>
      <c r="F26" s="81"/>
      <c r="H26" s="24">
        <f ca="1">IF('Cadastro de Produtos'!B26="",-1,'Cadastro de Produtos'!D26-SUMIFS(INDIRECT("'"&amp;$D$3&amp;"'!D:D"),INDIRECT("'"&amp;$D$3&amp;"'!B:B"),'Cadastro de Produtos'!B26,INDIRECT("'"&amp;$D$3&amp;"'!J:J"),"✅ Sim"))</f>
        <v>-1</v>
      </c>
      <c r="I26" s="25" t="str">
        <f ca="1">IFERROR(_xlfn.AGGREGATE(15,6,(ROW($H$6:$H$65))/($H$6:$H$65&gt;0),21),"")</f>
        <v/>
      </c>
    </row>
    <row r="27" spans="2:9" ht="19.5" customHeight="1" x14ac:dyDescent="0.25">
      <c r="B27" s="82" t="str">
        <f ca="1">IF(I27="","",22)</f>
        <v/>
      </c>
      <c r="C27" s="26" t="str">
        <f ca="1">IF(I27="","",INDEX('Cadastro de Produtos'!$B$6:$B$65,I27-6+1))</f>
        <v/>
      </c>
      <c r="D27" s="27" t="str">
        <f t="shared" ca="1" si="0"/>
        <v/>
      </c>
      <c r="E27" s="28" t="str">
        <f t="shared" ca="1" si="1"/>
        <v/>
      </c>
      <c r="F27" s="83"/>
      <c r="H27" s="24">
        <f ca="1">IF('Cadastro de Produtos'!B27="",-1,'Cadastro de Produtos'!D27-SUMIFS(INDIRECT("'"&amp;$D$3&amp;"'!D:D"),INDIRECT("'"&amp;$D$3&amp;"'!B:B"),'Cadastro de Produtos'!B27,INDIRECT("'"&amp;$D$3&amp;"'!J:J"),"✅ Sim"))</f>
        <v>-1</v>
      </c>
      <c r="I27" s="25" t="str">
        <f ca="1">IFERROR(_xlfn.AGGREGATE(15,6,(ROW($H$6:$H$65))/($H$6:$H$65&gt;0),22),"")</f>
        <v/>
      </c>
    </row>
    <row r="28" spans="2:9" ht="19.5" customHeight="1" x14ac:dyDescent="0.25">
      <c r="B28" s="80" t="str">
        <f ca="1">IF(I28="","",23)</f>
        <v/>
      </c>
      <c r="C28" s="21" t="str">
        <f ca="1">IF(I28="","",INDEX('Cadastro de Produtos'!$B$6:$B$65,I28-6+1))</f>
        <v/>
      </c>
      <c r="D28" s="22" t="str">
        <f t="shared" ca="1" si="0"/>
        <v/>
      </c>
      <c r="E28" s="23" t="str">
        <f t="shared" ca="1" si="1"/>
        <v/>
      </c>
      <c r="F28" s="81"/>
      <c r="H28" s="24">
        <f ca="1">IF('Cadastro de Produtos'!B28="",-1,'Cadastro de Produtos'!D28-SUMIFS(INDIRECT("'"&amp;$D$3&amp;"'!D:D"),INDIRECT("'"&amp;$D$3&amp;"'!B:B"),'Cadastro de Produtos'!B28,INDIRECT("'"&amp;$D$3&amp;"'!J:J"),"✅ Sim"))</f>
        <v>-1</v>
      </c>
      <c r="I28" s="25" t="str">
        <f ca="1">IFERROR(_xlfn.AGGREGATE(15,6,(ROW($H$6:$H$65))/($H$6:$H$65&gt;0),23),"")</f>
        <v/>
      </c>
    </row>
    <row r="29" spans="2:9" ht="19.5" customHeight="1" x14ac:dyDescent="0.25">
      <c r="B29" s="82" t="str">
        <f ca="1">IF(I29="","",24)</f>
        <v/>
      </c>
      <c r="C29" s="26" t="str">
        <f ca="1">IF(I29="","",INDEX('Cadastro de Produtos'!$B$6:$B$65,I29-6+1))</f>
        <v/>
      </c>
      <c r="D29" s="27" t="str">
        <f t="shared" ca="1" si="0"/>
        <v/>
      </c>
      <c r="E29" s="28" t="str">
        <f t="shared" ca="1" si="1"/>
        <v/>
      </c>
      <c r="F29" s="83"/>
      <c r="H29" s="24">
        <f ca="1">IF('Cadastro de Produtos'!B29="",-1,'Cadastro de Produtos'!D29-SUMIFS(INDIRECT("'"&amp;$D$3&amp;"'!D:D"),INDIRECT("'"&amp;$D$3&amp;"'!B:B"),'Cadastro de Produtos'!B29,INDIRECT("'"&amp;$D$3&amp;"'!J:J"),"✅ Sim"))</f>
        <v>-1</v>
      </c>
      <c r="I29" s="25" t="str">
        <f ca="1">IFERROR(_xlfn.AGGREGATE(15,6,(ROW($H$6:$H$65))/($H$6:$H$65&gt;0),24),"")</f>
        <v/>
      </c>
    </row>
    <row r="30" spans="2:9" ht="19.5" customHeight="1" x14ac:dyDescent="0.25">
      <c r="B30" s="80" t="str">
        <f ca="1">IF(I30="","",25)</f>
        <v/>
      </c>
      <c r="C30" s="21" t="str">
        <f ca="1">IF(I30="","",INDEX('Cadastro de Produtos'!$B$6:$B$65,I30-6+1))</f>
        <v/>
      </c>
      <c r="D30" s="22" t="str">
        <f t="shared" ca="1" si="0"/>
        <v/>
      </c>
      <c r="E30" s="23" t="str">
        <f t="shared" ca="1" si="1"/>
        <v/>
      </c>
      <c r="F30" s="81"/>
      <c r="H30" s="24">
        <f ca="1">IF('Cadastro de Produtos'!B30="",-1,'Cadastro de Produtos'!D30-SUMIFS(INDIRECT("'"&amp;$D$3&amp;"'!D:D"),INDIRECT("'"&amp;$D$3&amp;"'!B:B"),'Cadastro de Produtos'!B30,INDIRECT("'"&amp;$D$3&amp;"'!J:J"),"✅ Sim"))</f>
        <v>-1</v>
      </c>
      <c r="I30" s="25" t="str">
        <f ca="1">IFERROR(_xlfn.AGGREGATE(15,6,(ROW($H$6:$H$65))/($H$6:$H$65&gt;0),25),"")</f>
        <v/>
      </c>
    </row>
    <row r="31" spans="2:9" ht="19.5" customHeight="1" x14ac:dyDescent="0.25">
      <c r="B31" s="82" t="str">
        <f ca="1">IF(I31="","",26)</f>
        <v/>
      </c>
      <c r="C31" s="26" t="str">
        <f ca="1">IF(I31="","",INDEX('Cadastro de Produtos'!$B$6:$B$65,I31-6+1))</f>
        <v/>
      </c>
      <c r="D31" s="27" t="str">
        <f t="shared" ca="1" si="0"/>
        <v/>
      </c>
      <c r="E31" s="28" t="str">
        <f t="shared" ca="1" si="1"/>
        <v/>
      </c>
      <c r="F31" s="83"/>
      <c r="H31" s="24">
        <f ca="1">IF('Cadastro de Produtos'!B31="",-1,'Cadastro de Produtos'!D31-SUMIFS(INDIRECT("'"&amp;$D$3&amp;"'!D:D"),INDIRECT("'"&amp;$D$3&amp;"'!B:B"),'Cadastro de Produtos'!B31,INDIRECT("'"&amp;$D$3&amp;"'!J:J"),"✅ Sim"))</f>
        <v>-1</v>
      </c>
      <c r="I31" s="25" t="str">
        <f ca="1">IFERROR(_xlfn.AGGREGATE(15,6,(ROW($H$6:$H$65))/($H$6:$H$65&gt;0),26),"")</f>
        <v/>
      </c>
    </row>
    <row r="32" spans="2:9" ht="19.5" customHeight="1" x14ac:dyDescent="0.25">
      <c r="B32" s="80" t="str">
        <f ca="1">IF(I32="","",27)</f>
        <v/>
      </c>
      <c r="C32" s="21" t="str">
        <f ca="1">IF(I32="","",INDEX('Cadastro de Produtos'!$B$6:$B$65,I32-6+1))</f>
        <v/>
      </c>
      <c r="D32" s="22" t="str">
        <f t="shared" ca="1" si="0"/>
        <v/>
      </c>
      <c r="E32" s="23" t="str">
        <f t="shared" ca="1" si="1"/>
        <v/>
      </c>
      <c r="F32" s="81"/>
      <c r="H32" s="24">
        <f ca="1">IF('Cadastro de Produtos'!B32="",-1,'Cadastro de Produtos'!D32-SUMIFS(INDIRECT("'"&amp;$D$3&amp;"'!D:D"),INDIRECT("'"&amp;$D$3&amp;"'!B:B"),'Cadastro de Produtos'!B32,INDIRECT("'"&amp;$D$3&amp;"'!J:J"),"✅ Sim"))</f>
        <v>-1</v>
      </c>
      <c r="I32" s="25" t="str">
        <f ca="1">IFERROR(_xlfn.AGGREGATE(15,6,(ROW($H$6:$H$65))/($H$6:$H$65&gt;0),27),"")</f>
        <v/>
      </c>
    </row>
    <row r="33" spans="2:9" ht="19.5" customHeight="1" x14ac:dyDescent="0.25">
      <c r="B33" s="82" t="str">
        <f ca="1">IF(I33="","",28)</f>
        <v/>
      </c>
      <c r="C33" s="26" t="str">
        <f ca="1">IF(I33="","",INDEX('Cadastro de Produtos'!$B$6:$B$65,I33-6+1))</f>
        <v/>
      </c>
      <c r="D33" s="27" t="str">
        <f t="shared" ca="1" si="0"/>
        <v/>
      </c>
      <c r="E33" s="28" t="str">
        <f t="shared" ca="1" si="1"/>
        <v/>
      </c>
      <c r="F33" s="83"/>
      <c r="H33" s="24">
        <f ca="1">IF('Cadastro de Produtos'!B33="",-1,'Cadastro de Produtos'!D33-SUMIFS(INDIRECT("'"&amp;$D$3&amp;"'!D:D"),INDIRECT("'"&amp;$D$3&amp;"'!B:B"),'Cadastro de Produtos'!B33,INDIRECT("'"&amp;$D$3&amp;"'!J:J"),"✅ Sim"))</f>
        <v>-1</v>
      </c>
      <c r="I33" s="25" t="str">
        <f ca="1">IFERROR(_xlfn.AGGREGATE(15,6,(ROW($H$6:$H$65))/($H$6:$H$65&gt;0),28),"")</f>
        <v/>
      </c>
    </row>
    <row r="34" spans="2:9" ht="19.5" customHeight="1" x14ac:dyDescent="0.25">
      <c r="B34" s="80" t="str">
        <f ca="1">IF(I34="","",29)</f>
        <v/>
      </c>
      <c r="C34" s="21" t="str">
        <f ca="1">IF(I34="","",INDEX('Cadastro de Produtos'!$B$6:$B$65,I34-6+1))</f>
        <v/>
      </c>
      <c r="D34" s="22" t="str">
        <f t="shared" ca="1" si="0"/>
        <v/>
      </c>
      <c r="E34" s="23" t="str">
        <f t="shared" ca="1" si="1"/>
        <v/>
      </c>
      <c r="F34" s="81"/>
      <c r="H34" s="24">
        <f ca="1">IF('Cadastro de Produtos'!B34="",-1,'Cadastro de Produtos'!D34-SUMIFS(INDIRECT("'"&amp;$D$3&amp;"'!D:D"),INDIRECT("'"&amp;$D$3&amp;"'!B:B"),'Cadastro de Produtos'!B34,INDIRECT("'"&amp;$D$3&amp;"'!J:J"),"✅ Sim"))</f>
        <v>-1</v>
      </c>
      <c r="I34" s="25" t="str">
        <f ca="1">IFERROR(_xlfn.AGGREGATE(15,6,(ROW($H$6:$H$65))/($H$6:$H$65&gt;0),29),"")</f>
        <v/>
      </c>
    </row>
    <row r="35" spans="2:9" ht="19.5" customHeight="1" x14ac:dyDescent="0.25">
      <c r="B35" s="82" t="str">
        <f ca="1">IF(I35="","",30)</f>
        <v/>
      </c>
      <c r="C35" s="26" t="str">
        <f ca="1">IF(I35="","",INDEX('Cadastro de Produtos'!$B$6:$B$65,I35-6+1))</f>
        <v/>
      </c>
      <c r="D35" s="27" t="str">
        <f t="shared" ca="1" si="0"/>
        <v/>
      </c>
      <c r="E35" s="28" t="str">
        <f t="shared" ca="1" si="1"/>
        <v/>
      </c>
      <c r="F35" s="83"/>
      <c r="H35" s="24">
        <f ca="1">IF('Cadastro de Produtos'!B35="",-1,'Cadastro de Produtos'!D35-SUMIFS(INDIRECT("'"&amp;$D$3&amp;"'!D:D"),INDIRECT("'"&amp;$D$3&amp;"'!B:B"),'Cadastro de Produtos'!B35,INDIRECT("'"&amp;$D$3&amp;"'!J:J"),"✅ Sim"))</f>
        <v>-1</v>
      </c>
      <c r="I35" s="25" t="str">
        <f ca="1">IFERROR(_xlfn.AGGREGATE(15,6,(ROW($H$6:$H$65))/($H$6:$H$65&gt;0),30),"")</f>
        <v/>
      </c>
    </row>
    <row r="36" spans="2:9" ht="19.5" customHeight="1" x14ac:dyDescent="0.25">
      <c r="B36" s="80" t="str">
        <f ca="1">IF(I36="","",31)</f>
        <v/>
      </c>
      <c r="C36" s="21" t="str">
        <f ca="1">IF(I36="","",INDEX('Cadastro de Produtos'!$B$6:$B$65,I36-6+1))</f>
        <v/>
      </c>
      <c r="D36" s="22" t="str">
        <f t="shared" ca="1" si="0"/>
        <v/>
      </c>
      <c r="E36" s="23" t="str">
        <f t="shared" ca="1" si="1"/>
        <v/>
      </c>
      <c r="F36" s="81"/>
      <c r="H36" s="24">
        <f ca="1">IF('Cadastro de Produtos'!B36="",-1,'Cadastro de Produtos'!D36-SUMIFS(INDIRECT("'"&amp;$D$3&amp;"'!D:D"),INDIRECT("'"&amp;$D$3&amp;"'!B:B"),'Cadastro de Produtos'!B36,INDIRECT("'"&amp;$D$3&amp;"'!J:J"),"✅ Sim"))</f>
        <v>-1</v>
      </c>
      <c r="I36" s="25" t="str">
        <f ca="1">IFERROR(_xlfn.AGGREGATE(15,6,(ROW($H$6:$H$65))/($H$6:$H$65&gt;0),31),"")</f>
        <v/>
      </c>
    </row>
    <row r="37" spans="2:9" ht="19.5" customHeight="1" x14ac:dyDescent="0.25">
      <c r="B37" s="82" t="str">
        <f ca="1">IF(I37="","",32)</f>
        <v/>
      </c>
      <c r="C37" s="26" t="str">
        <f ca="1">IF(I37="","",INDEX('Cadastro de Produtos'!$B$6:$B$65,I37-6+1))</f>
        <v/>
      </c>
      <c r="D37" s="27" t="str">
        <f t="shared" ca="1" si="0"/>
        <v/>
      </c>
      <c r="E37" s="28" t="str">
        <f t="shared" ca="1" si="1"/>
        <v/>
      </c>
      <c r="F37" s="83"/>
      <c r="H37" s="24">
        <f ca="1">IF('Cadastro de Produtos'!B37="",-1,'Cadastro de Produtos'!D37-SUMIFS(INDIRECT("'"&amp;$D$3&amp;"'!D:D"),INDIRECT("'"&amp;$D$3&amp;"'!B:B"),'Cadastro de Produtos'!B37,INDIRECT("'"&amp;$D$3&amp;"'!J:J"),"✅ Sim"))</f>
        <v>-1</v>
      </c>
      <c r="I37" s="25" t="str">
        <f ca="1">IFERROR(_xlfn.AGGREGATE(15,6,(ROW($H$6:$H$65))/($H$6:$H$65&gt;0),32),"")</f>
        <v/>
      </c>
    </row>
    <row r="38" spans="2:9" ht="19.5" customHeight="1" x14ac:dyDescent="0.25">
      <c r="B38" s="80" t="str">
        <f ca="1">IF(I38="","",33)</f>
        <v/>
      </c>
      <c r="C38" s="21" t="str">
        <f ca="1">IF(I38="","",INDEX('Cadastro de Produtos'!$B$6:$B$65,I38-6+1))</f>
        <v/>
      </c>
      <c r="D38" s="22" t="str">
        <f t="shared" ref="D38:D65" ca="1" si="2">IF(I38="","",INDEX($H$6:$H$65,I38-6+1))</f>
        <v/>
      </c>
      <c r="E38" s="23" t="str">
        <f t="shared" ref="E38:E65" ca="1" si="3">IF(C38="","",IF(IFERROR(VLOOKUP(C38,INDIRECT("'"&amp;$D$3&amp;"'!B:E"),4,0),"")&lt;&gt;"",IFERROR(VLOOKUP(C38,INDIRECT("'"&amp;$D$3&amp;"'!B:E"),4,0),""),IF($H$3="","",IFERROR(VLOOKUP(C38,INDIRECT("'"&amp;$H$3&amp;"'!B:E"),4,0),""))))</f>
        <v/>
      </c>
      <c r="F38" s="81"/>
      <c r="H38" s="24">
        <f ca="1">IF('Cadastro de Produtos'!B38="",-1,'Cadastro de Produtos'!D38-SUMIFS(INDIRECT("'"&amp;$D$3&amp;"'!D:D"),INDIRECT("'"&amp;$D$3&amp;"'!B:B"),'Cadastro de Produtos'!B38,INDIRECT("'"&amp;$D$3&amp;"'!J:J"),"✅ Sim"))</f>
        <v>-1</v>
      </c>
      <c r="I38" s="25" t="str">
        <f ca="1">IFERROR(_xlfn.AGGREGATE(15,6,(ROW($H$6:$H$65))/($H$6:$H$65&gt;0),33),"")</f>
        <v/>
      </c>
    </row>
    <row r="39" spans="2:9" ht="19.5" customHeight="1" thickBot="1" x14ac:dyDescent="0.3">
      <c r="B39" s="84" t="str">
        <f ca="1">IF(I39="","",34)</f>
        <v/>
      </c>
      <c r="C39" s="85" t="str">
        <f ca="1">IF(I39="","",INDEX('Cadastro de Produtos'!$B$6:$B$65,I39-6+1))</f>
        <v/>
      </c>
      <c r="D39" s="86" t="str">
        <f t="shared" ca="1" si="2"/>
        <v/>
      </c>
      <c r="E39" s="87" t="str">
        <f t="shared" ca="1" si="3"/>
        <v/>
      </c>
      <c r="F39" s="88"/>
      <c r="H39" s="24">
        <f ca="1">IF('Cadastro de Produtos'!B39="",-1,'Cadastro de Produtos'!D39-SUMIFS(INDIRECT("'"&amp;$D$3&amp;"'!D:D"),INDIRECT("'"&amp;$D$3&amp;"'!B:B"),'Cadastro de Produtos'!B39,INDIRECT("'"&amp;$D$3&amp;"'!J:J"),"✅ Sim"))</f>
        <v>-1</v>
      </c>
      <c r="I39" s="25" t="str">
        <f ca="1">IFERROR(_xlfn.AGGREGATE(15,6,(ROW($H$6:$H$65))/($H$6:$H$65&gt;0),34),"")</f>
        <v/>
      </c>
    </row>
    <row r="40" spans="2:9" ht="19.5" customHeight="1" x14ac:dyDescent="0.25">
      <c r="B40" s="89" t="str">
        <f ca="1">IF(I40="","",35)</f>
        <v/>
      </c>
      <c r="C40" s="90" t="str">
        <f ca="1">IF(I40="","",INDEX('Cadastro de Produtos'!$B$6:$B$65,I40-6+1))</f>
        <v/>
      </c>
      <c r="D40" s="91" t="str">
        <f t="shared" ca="1" si="2"/>
        <v/>
      </c>
      <c r="E40" s="92" t="str">
        <f t="shared" ca="1" si="3"/>
        <v/>
      </c>
      <c r="F40" s="93"/>
      <c r="H40" s="24">
        <f ca="1">IF('Cadastro de Produtos'!B40="",-1,'Cadastro de Produtos'!D40-SUMIFS(INDIRECT("'"&amp;$D$3&amp;"'!D:D"),INDIRECT("'"&amp;$D$3&amp;"'!B:B"),'Cadastro de Produtos'!B40,INDIRECT("'"&amp;$D$3&amp;"'!J:J"),"✅ Sim"))</f>
        <v>-1</v>
      </c>
      <c r="I40" s="25" t="str">
        <f ca="1">IFERROR(_xlfn.AGGREGATE(15,6,(ROW($H$6:$H$65))/($H$6:$H$65&gt;0),35),"")</f>
        <v/>
      </c>
    </row>
    <row r="41" spans="2:9" ht="19.5" customHeight="1" x14ac:dyDescent="0.25">
      <c r="B41" s="82" t="str">
        <f ca="1">IF(I41="","",36)</f>
        <v/>
      </c>
      <c r="C41" s="26" t="str">
        <f ca="1">IF(I41="","",INDEX('Cadastro de Produtos'!$B$6:$B$65,I41-6+1))</f>
        <v/>
      </c>
      <c r="D41" s="27" t="str">
        <f t="shared" ca="1" si="2"/>
        <v/>
      </c>
      <c r="E41" s="28" t="str">
        <f t="shared" ca="1" si="3"/>
        <v/>
      </c>
      <c r="F41" s="83"/>
      <c r="H41" s="24">
        <f ca="1">IF('Cadastro de Produtos'!B41="",-1,'Cadastro de Produtos'!D41-SUMIFS(INDIRECT("'"&amp;$D$3&amp;"'!D:D"),INDIRECT("'"&amp;$D$3&amp;"'!B:B"),'Cadastro de Produtos'!B41,INDIRECT("'"&amp;$D$3&amp;"'!J:J"),"✅ Sim"))</f>
        <v>-1</v>
      </c>
      <c r="I41" s="25" t="str">
        <f ca="1">IFERROR(_xlfn.AGGREGATE(15,6,(ROW($H$6:$H$65))/($H$6:$H$65&gt;0),36),"")</f>
        <v/>
      </c>
    </row>
    <row r="42" spans="2:9" ht="19.5" customHeight="1" x14ac:dyDescent="0.25">
      <c r="B42" s="80" t="str">
        <f ca="1">IF(I42="","",37)</f>
        <v/>
      </c>
      <c r="C42" s="21" t="str">
        <f ca="1">IF(I42="","",INDEX('Cadastro de Produtos'!$B$6:$B$65,I42-6+1))</f>
        <v/>
      </c>
      <c r="D42" s="22" t="str">
        <f t="shared" ca="1" si="2"/>
        <v/>
      </c>
      <c r="E42" s="23" t="str">
        <f t="shared" ca="1" si="3"/>
        <v/>
      </c>
      <c r="F42" s="81"/>
      <c r="H42" s="24">
        <f ca="1">IF('Cadastro de Produtos'!B42="",-1,'Cadastro de Produtos'!D42-SUMIFS(INDIRECT("'"&amp;$D$3&amp;"'!D:D"),INDIRECT("'"&amp;$D$3&amp;"'!B:B"),'Cadastro de Produtos'!B42,INDIRECT("'"&amp;$D$3&amp;"'!J:J"),"✅ Sim"))</f>
        <v>-1</v>
      </c>
      <c r="I42" s="25" t="str">
        <f ca="1">IFERROR(_xlfn.AGGREGATE(15,6,(ROW($H$6:$H$65))/($H$6:$H$65&gt;0),37),"")</f>
        <v/>
      </c>
    </row>
    <row r="43" spans="2:9" ht="19.5" customHeight="1" x14ac:dyDescent="0.25">
      <c r="B43" s="82" t="str">
        <f ca="1">IF(I43="","",38)</f>
        <v/>
      </c>
      <c r="C43" s="26" t="str">
        <f ca="1">IF(I43="","",INDEX('Cadastro de Produtos'!$B$6:$B$65,I43-6+1))</f>
        <v/>
      </c>
      <c r="D43" s="27" t="str">
        <f t="shared" ca="1" si="2"/>
        <v/>
      </c>
      <c r="E43" s="28" t="str">
        <f t="shared" ca="1" si="3"/>
        <v/>
      </c>
      <c r="F43" s="83"/>
      <c r="H43" s="24">
        <f ca="1">IF('Cadastro de Produtos'!B43="",-1,'Cadastro de Produtos'!D43-SUMIFS(INDIRECT("'"&amp;$D$3&amp;"'!D:D"),INDIRECT("'"&amp;$D$3&amp;"'!B:B"),'Cadastro de Produtos'!B43,INDIRECT("'"&amp;$D$3&amp;"'!J:J"),"✅ Sim"))</f>
        <v>-1</v>
      </c>
      <c r="I43" s="25" t="str">
        <f ca="1">IFERROR(_xlfn.AGGREGATE(15,6,(ROW($H$6:$H$65))/($H$6:$H$65&gt;0),38),"")</f>
        <v/>
      </c>
    </row>
    <row r="44" spans="2:9" ht="19.5" customHeight="1" x14ac:dyDescent="0.25">
      <c r="B44" s="80" t="str">
        <f ca="1">IF(I44="","",39)</f>
        <v/>
      </c>
      <c r="C44" s="21" t="str">
        <f ca="1">IF(I44="","",INDEX('Cadastro de Produtos'!$B$6:$B$65,I44-6+1))</f>
        <v/>
      </c>
      <c r="D44" s="22" t="str">
        <f t="shared" ca="1" si="2"/>
        <v/>
      </c>
      <c r="E44" s="23" t="str">
        <f t="shared" ca="1" si="3"/>
        <v/>
      </c>
      <c r="F44" s="81"/>
      <c r="H44" s="24">
        <f ca="1">IF('Cadastro de Produtos'!B44="",-1,'Cadastro de Produtos'!D44-SUMIFS(INDIRECT("'"&amp;$D$3&amp;"'!D:D"),INDIRECT("'"&amp;$D$3&amp;"'!B:B"),'Cadastro de Produtos'!B44,INDIRECT("'"&amp;$D$3&amp;"'!J:J"),"✅ Sim"))</f>
        <v>-1</v>
      </c>
      <c r="I44" s="25" t="str">
        <f ca="1">IFERROR(_xlfn.AGGREGATE(15,6,(ROW($H$6:$H$65))/($H$6:$H$65&gt;0),39),"")</f>
        <v/>
      </c>
    </row>
    <row r="45" spans="2:9" ht="19.5" customHeight="1" x14ac:dyDescent="0.25">
      <c r="B45" s="82" t="str">
        <f ca="1">IF(I45="","",40)</f>
        <v/>
      </c>
      <c r="C45" s="26" t="str">
        <f ca="1">IF(I45="","",INDEX('Cadastro de Produtos'!$B$6:$B$65,I45-6+1))</f>
        <v/>
      </c>
      <c r="D45" s="27" t="str">
        <f t="shared" ca="1" si="2"/>
        <v/>
      </c>
      <c r="E45" s="28" t="str">
        <f t="shared" ca="1" si="3"/>
        <v/>
      </c>
      <c r="F45" s="83"/>
      <c r="H45" s="24">
        <f ca="1">IF('Cadastro de Produtos'!B45="",-1,'Cadastro de Produtos'!D45-SUMIFS(INDIRECT("'"&amp;$D$3&amp;"'!D:D"),INDIRECT("'"&amp;$D$3&amp;"'!B:B"),'Cadastro de Produtos'!B45,INDIRECT("'"&amp;$D$3&amp;"'!J:J"),"✅ Sim"))</f>
        <v>-1</v>
      </c>
      <c r="I45" s="25" t="str">
        <f ca="1">IFERROR(_xlfn.AGGREGATE(15,6,(ROW($H$6:$H$65))/($H$6:$H$65&gt;0),40),"")</f>
        <v/>
      </c>
    </row>
    <row r="46" spans="2:9" ht="19.5" customHeight="1" x14ac:dyDescent="0.25">
      <c r="B46" s="80" t="str">
        <f ca="1">IF(I46="","",41)</f>
        <v/>
      </c>
      <c r="C46" s="21" t="str">
        <f ca="1">IF(I46="","",INDEX('Cadastro de Produtos'!$B$6:$B$65,I46-6+1))</f>
        <v/>
      </c>
      <c r="D46" s="22" t="str">
        <f t="shared" ca="1" si="2"/>
        <v/>
      </c>
      <c r="E46" s="23" t="str">
        <f t="shared" ca="1" si="3"/>
        <v/>
      </c>
      <c r="F46" s="81"/>
      <c r="H46" s="24">
        <f ca="1">IF('Cadastro de Produtos'!B46="",-1,'Cadastro de Produtos'!D46-SUMIFS(INDIRECT("'"&amp;$D$3&amp;"'!D:D"),INDIRECT("'"&amp;$D$3&amp;"'!B:B"),'Cadastro de Produtos'!B46,INDIRECT("'"&amp;$D$3&amp;"'!J:J"),"✅ Sim"))</f>
        <v>-1</v>
      </c>
      <c r="I46" s="25" t="str">
        <f ca="1">IFERROR(_xlfn.AGGREGATE(15,6,(ROW($H$6:$H$65))/($H$6:$H$65&gt;0),41),"")</f>
        <v/>
      </c>
    </row>
    <row r="47" spans="2:9" ht="19.5" customHeight="1" x14ac:dyDescent="0.25">
      <c r="B47" s="82" t="str">
        <f ca="1">IF(I47="","",42)</f>
        <v/>
      </c>
      <c r="C47" s="26" t="str">
        <f ca="1">IF(I47="","",INDEX('Cadastro de Produtos'!$B$6:$B$65,I47-6+1))</f>
        <v/>
      </c>
      <c r="D47" s="27" t="str">
        <f t="shared" ca="1" si="2"/>
        <v/>
      </c>
      <c r="E47" s="28" t="str">
        <f t="shared" ca="1" si="3"/>
        <v/>
      </c>
      <c r="F47" s="83"/>
      <c r="H47" s="24">
        <f ca="1">IF('Cadastro de Produtos'!B47="",-1,'Cadastro de Produtos'!D47-SUMIFS(INDIRECT("'"&amp;$D$3&amp;"'!D:D"),INDIRECT("'"&amp;$D$3&amp;"'!B:B"),'Cadastro de Produtos'!B47,INDIRECT("'"&amp;$D$3&amp;"'!J:J"),"✅ Sim"))</f>
        <v>-1</v>
      </c>
      <c r="I47" s="25" t="str">
        <f ca="1">IFERROR(_xlfn.AGGREGATE(15,6,(ROW($H$6:$H$65))/($H$6:$H$65&gt;0),42),"")</f>
        <v/>
      </c>
    </row>
    <row r="48" spans="2:9" ht="19.5" customHeight="1" x14ac:dyDescent="0.25">
      <c r="B48" s="80" t="str">
        <f ca="1">IF(I48="","",43)</f>
        <v/>
      </c>
      <c r="C48" s="21" t="str">
        <f ca="1">IF(I48="","",INDEX('Cadastro de Produtos'!$B$6:$B$65,I48-6+1))</f>
        <v/>
      </c>
      <c r="D48" s="22" t="str">
        <f t="shared" ca="1" si="2"/>
        <v/>
      </c>
      <c r="E48" s="23" t="str">
        <f t="shared" ca="1" si="3"/>
        <v/>
      </c>
      <c r="F48" s="81"/>
      <c r="H48" s="24">
        <f ca="1">IF('Cadastro de Produtos'!B48="",-1,'Cadastro de Produtos'!D48-SUMIFS(INDIRECT("'"&amp;$D$3&amp;"'!D:D"),INDIRECT("'"&amp;$D$3&amp;"'!B:B"),'Cadastro de Produtos'!B48,INDIRECT("'"&amp;$D$3&amp;"'!J:J"),"✅ Sim"))</f>
        <v>-1</v>
      </c>
      <c r="I48" s="25" t="str">
        <f ca="1">IFERROR(_xlfn.AGGREGATE(15,6,(ROW($H$6:$H$65))/($H$6:$H$65&gt;0),43),"")</f>
        <v/>
      </c>
    </row>
    <row r="49" spans="2:9" ht="19.5" customHeight="1" x14ac:dyDescent="0.25">
      <c r="B49" s="82" t="str">
        <f ca="1">IF(I49="","",44)</f>
        <v/>
      </c>
      <c r="C49" s="26" t="str">
        <f ca="1">IF(I49="","",INDEX('Cadastro de Produtos'!$B$6:$B$65,I49-6+1))</f>
        <v/>
      </c>
      <c r="D49" s="27" t="str">
        <f t="shared" ca="1" si="2"/>
        <v/>
      </c>
      <c r="E49" s="28" t="str">
        <f t="shared" ca="1" si="3"/>
        <v/>
      </c>
      <c r="F49" s="83"/>
      <c r="H49" s="24">
        <f ca="1">IF('Cadastro de Produtos'!B49="",-1,'Cadastro de Produtos'!D49-SUMIFS(INDIRECT("'"&amp;$D$3&amp;"'!D:D"),INDIRECT("'"&amp;$D$3&amp;"'!B:B"),'Cadastro de Produtos'!B49,INDIRECT("'"&amp;$D$3&amp;"'!J:J"),"✅ Sim"))</f>
        <v>-1</v>
      </c>
      <c r="I49" s="25" t="str">
        <f ca="1">IFERROR(_xlfn.AGGREGATE(15,6,(ROW($H$6:$H$65))/($H$6:$H$65&gt;0),44),"")</f>
        <v/>
      </c>
    </row>
    <row r="50" spans="2:9" ht="19.5" customHeight="1" x14ac:dyDescent="0.25">
      <c r="B50" s="80" t="str">
        <f ca="1">IF(I50="","",45)</f>
        <v/>
      </c>
      <c r="C50" s="21" t="str">
        <f ca="1">IF(I50="","",INDEX('Cadastro de Produtos'!$B$6:$B$65,I50-6+1))</f>
        <v/>
      </c>
      <c r="D50" s="22" t="str">
        <f t="shared" ca="1" si="2"/>
        <v/>
      </c>
      <c r="E50" s="23" t="str">
        <f t="shared" ca="1" si="3"/>
        <v/>
      </c>
      <c r="F50" s="81"/>
      <c r="H50" s="24">
        <f ca="1">IF('Cadastro de Produtos'!B50="",-1,'Cadastro de Produtos'!D50-SUMIFS(INDIRECT("'"&amp;$D$3&amp;"'!D:D"),INDIRECT("'"&amp;$D$3&amp;"'!B:B"),'Cadastro de Produtos'!B50,INDIRECT("'"&amp;$D$3&amp;"'!J:J"),"✅ Sim"))</f>
        <v>-1</v>
      </c>
      <c r="I50" s="25" t="str">
        <f ca="1">IFERROR(_xlfn.AGGREGATE(15,6,(ROW($H$6:$H$65))/($H$6:$H$65&gt;0),45),"")</f>
        <v/>
      </c>
    </row>
    <row r="51" spans="2:9" ht="19.5" customHeight="1" x14ac:dyDescent="0.25">
      <c r="B51" s="82" t="str">
        <f ca="1">IF(I51="","",46)</f>
        <v/>
      </c>
      <c r="C51" s="26" t="str">
        <f ca="1">IF(I51="","",INDEX('Cadastro de Produtos'!$B$6:$B$65,I51-6+1))</f>
        <v/>
      </c>
      <c r="D51" s="27" t="str">
        <f t="shared" ca="1" si="2"/>
        <v/>
      </c>
      <c r="E51" s="28" t="str">
        <f t="shared" ca="1" si="3"/>
        <v/>
      </c>
      <c r="F51" s="83"/>
      <c r="H51" s="24">
        <f ca="1">IF('Cadastro de Produtos'!B51="",-1,'Cadastro de Produtos'!D51-SUMIFS(INDIRECT("'"&amp;$D$3&amp;"'!D:D"),INDIRECT("'"&amp;$D$3&amp;"'!B:B"),'Cadastro de Produtos'!B51,INDIRECT("'"&amp;$D$3&amp;"'!J:J"),"✅ Sim"))</f>
        <v>-1</v>
      </c>
      <c r="I51" s="25" t="str">
        <f ca="1">IFERROR(_xlfn.AGGREGATE(15,6,(ROW($H$6:$H$65))/($H$6:$H$65&gt;0),46),"")</f>
        <v/>
      </c>
    </row>
    <row r="52" spans="2:9" ht="19.5" customHeight="1" x14ac:dyDescent="0.25">
      <c r="B52" s="80" t="str">
        <f ca="1">IF(I52="","",47)</f>
        <v/>
      </c>
      <c r="C52" s="21" t="str">
        <f ca="1">IF(I52="","",INDEX('Cadastro de Produtos'!$B$6:$B$65,I52-6+1))</f>
        <v/>
      </c>
      <c r="D52" s="22" t="str">
        <f t="shared" ca="1" si="2"/>
        <v/>
      </c>
      <c r="E52" s="23" t="str">
        <f t="shared" ca="1" si="3"/>
        <v/>
      </c>
      <c r="F52" s="81"/>
      <c r="H52" s="24">
        <f ca="1">IF('Cadastro de Produtos'!B52="",-1,'Cadastro de Produtos'!D52-SUMIFS(INDIRECT("'"&amp;$D$3&amp;"'!D:D"),INDIRECT("'"&amp;$D$3&amp;"'!B:B"),'Cadastro de Produtos'!B52,INDIRECT("'"&amp;$D$3&amp;"'!J:J"),"✅ Sim"))</f>
        <v>-1</v>
      </c>
      <c r="I52" s="25" t="str">
        <f ca="1">IFERROR(_xlfn.AGGREGATE(15,6,(ROW($H$6:$H$65))/($H$6:$H$65&gt;0),47),"")</f>
        <v/>
      </c>
    </row>
    <row r="53" spans="2:9" ht="19.5" customHeight="1" x14ac:dyDescent="0.25">
      <c r="B53" s="82" t="str">
        <f ca="1">IF(I53="","",48)</f>
        <v/>
      </c>
      <c r="C53" s="26" t="str">
        <f ca="1">IF(I53="","",INDEX('Cadastro de Produtos'!$B$6:$B$65,I53-6+1))</f>
        <v/>
      </c>
      <c r="D53" s="27" t="str">
        <f t="shared" ca="1" si="2"/>
        <v/>
      </c>
      <c r="E53" s="28" t="str">
        <f t="shared" ca="1" si="3"/>
        <v/>
      </c>
      <c r="F53" s="83"/>
      <c r="H53" s="24">
        <f ca="1">IF('Cadastro de Produtos'!B53="",-1,'Cadastro de Produtos'!D53-SUMIFS(INDIRECT("'"&amp;$D$3&amp;"'!D:D"),INDIRECT("'"&amp;$D$3&amp;"'!B:B"),'Cadastro de Produtos'!B53,INDIRECT("'"&amp;$D$3&amp;"'!J:J"),"✅ Sim"))</f>
        <v>-1</v>
      </c>
      <c r="I53" s="25" t="str">
        <f ca="1">IFERROR(_xlfn.AGGREGATE(15,6,(ROW($H$6:$H$65))/($H$6:$H$65&gt;0),48),"")</f>
        <v/>
      </c>
    </row>
    <row r="54" spans="2:9" ht="19.5" customHeight="1" x14ac:dyDescent="0.25">
      <c r="B54" s="80" t="str">
        <f ca="1">IF(I54="","",49)</f>
        <v/>
      </c>
      <c r="C54" s="21" t="str">
        <f ca="1">IF(I54="","",INDEX('Cadastro de Produtos'!$B$6:$B$65,I54-6+1))</f>
        <v/>
      </c>
      <c r="D54" s="22" t="str">
        <f t="shared" ca="1" si="2"/>
        <v/>
      </c>
      <c r="E54" s="23" t="str">
        <f t="shared" ca="1" si="3"/>
        <v/>
      </c>
      <c r="F54" s="81"/>
      <c r="H54" s="24">
        <f ca="1">IF('Cadastro de Produtos'!B54="",-1,'Cadastro de Produtos'!D54-SUMIFS(INDIRECT("'"&amp;$D$3&amp;"'!D:D"),INDIRECT("'"&amp;$D$3&amp;"'!B:B"),'Cadastro de Produtos'!B54,INDIRECT("'"&amp;$D$3&amp;"'!J:J"),"✅ Sim"))</f>
        <v>-1</v>
      </c>
      <c r="I54" s="25" t="str">
        <f ca="1">IFERROR(_xlfn.AGGREGATE(15,6,(ROW($H$6:$H$65))/($H$6:$H$65&gt;0),49),"")</f>
        <v/>
      </c>
    </row>
    <row r="55" spans="2:9" ht="19.5" customHeight="1" x14ac:dyDescent="0.25">
      <c r="B55" s="82" t="str">
        <f ca="1">IF(I55="","",50)</f>
        <v/>
      </c>
      <c r="C55" s="26" t="str">
        <f ca="1">IF(I55="","",INDEX('Cadastro de Produtos'!$B$6:$B$65,I55-6+1))</f>
        <v/>
      </c>
      <c r="D55" s="27" t="str">
        <f t="shared" ca="1" si="2"/>
        <v/>
      </c>
      <c r="E55" s="28" t="str">
        <f t="shared" ca="1" si="3"/>
        <v/>
      </c>
      <c r="F55" s="83"/>
      <c r="H55" s="24">
        <f ca="1">IF('Cadastro de Produtos'!B55="",-1,'Cadastro de Produtos'!D55-SUMIFS(INDIRECT("'"&amp;$D$3&amp;"'!D:D"),INDIRECT("'"&amp;$D$3&amp;"'!B:B"),'Cadastro de Produtos'!B55,INDIRECT("'"&amp;$D$3&amp;"'!J:J"),"✅ Sim"))</f>
        <v>-1</v>
      </c>
      <c r="I55" s="25" t="str">
        <f ca="1">IFERROR(_xlfn.AGGREGATE(15,6,(ROW($H$6:$H$65))/($H$6:$H$65&gt;0),50),"")</f>
        <v/>
      </c>
    </row>
    <row r="56" spans="2:9" ht="19.5" customHeight="1" x14ac:dyDescent="0.25">
      <c r="B56" s="80" t="str">
        <f ca="1">IF(I56="","",51)</f>
        <v/>
      </c>
      <c r="C56" s="21" t="str">
        <f ca="1">IF(I56="","",INDEX('Cadastro de Produtos'!$B$6:$B$65,I56-6+1))</f>
        <v/>
      </c>
      <c r="D56" s="22" t="str">
        <f t="shared" ca="1" si="2"/>
        <v/>
      </c>
      <c r="E56" s="23" t="str">
        <f t="shared" ca="1" si="3"/>
        <v/>
      </c>
      <c r="F56" s="81"/>
      <c r="H56" s="24">
        <f ca="1">IF('Cadastro de Produtos'!B56="",-1,'Cadastro de Produtos'!D56-SUMIFS(INDIRECT("'"&amp;$D$3&amp;"'!D:D"),INDIRECT("'"&amp;$D$3&amp;"'!B:B"),'Cadastro de Produtos'!B56,INDIRECT("'"&amp;$D$3&amp;"'!J:J"),"✅ Sim"))</f>
        <v>-1</v>
      </c>
      <c r="I56" s="25" t="str">
        <f ca="1">IFERROR(_xlfn.AGGREGATE(15,6,(ROW($H$6:$H$65))/($H$6:$H$65&gt;0),51),"")</f>
        <v/>
      </c>
    </row>
    <row r="57" spans="2:9" ht="19.5" customHeight="1" x14ac:dyDescent="0.25">
      <c r="B57" s="82" t="str">
        <f ca="1">IF(I57="","",52)</f>
        <v/>
      </c>
      <c r="C57" s="26" t="str">
        <f ca="1">IF(I57="","",INDEX('Cadastro de Produtos'!$B$6:$B$65,I57-6+1))</f>
        <v/>
      </c>
      <c r="D57" s="27" t="str">
        <f t="shared" ca="1" si="2"/>
        <v/>
      </c>
      <c r="E57" s="28" t="str">
        <f t="shared" ca="1" si="3"/>
        <v/>
      </c>
      <c r="F57" s="83"/>
      <c r="H57" s="24">
        <f ca="1">IF('Cadastro de Produtos'!B57="",-1,'Cadastro de Produtos'!D57-SUMIFS(INDIRECT("'"&amp;$D$3&amp;"'!D:D"),INDIRECT("'"&amp;$D$3&amp;"'!B:B"),'Cadastro de Produtos'!B57,INDIRECT("'"&amp;$D$3&amp;"'!J:J"),"✅ Sim"))</f>
        <v>-1</v>
      </c>
      <c r="I57" s="25" t="str">
        <f ca="1">IFERROR(_xlfn.AGGREGATE(15,6,(ROW($H$6:$H$65))/($H$6:$H$65&gt;0),52),"")</f>
        <v/>
      </c>
    </row>
    <row r="58" spans="2:9" ht="19.5" customHeight="1" x14ac:dyDescent="0.25">
      <c r="B58" s="80" t="str">
        <f ca="1">IF(I58="","",53)</f>
        <v/>
      </c>
      <c r="C58" s="21" t="str">
        <f ca="1">IF(I58="","",INDEX('Cadastro de Produtos'!$B$6:$B$65,I58-6+1))</f>
        <v/>
      </c>
      <c r="D58" s="22" t="str">
        <f t="shared" ca="1" si="2"/>
        <v/>
      </c>
      <c r="E58" s="23" t="str">
        <f t="shared" ca="1" si="3"/>
        <v/>
      </c>
      <c r="F58" s="81"/>
      <c r="H58" s="24">
        <f ca="1">IF('Cadastro de Produtos'!B58="",-1,'Cadastro de Produtos'!D58-SUMIFS(INDIRECT("'"&amp;$D$3&amp;"'!D:D"),INDIRECT("'"&amp;$D$3&amp;"'!B:B"),'Cadastro de Produtos'!B58,INDIRECT("'"&amp;$D$3&amp;"'!J:J"),"✅ Sim"))</f>
        <v>-1</v>
      </c>
      <c r="I58" s="25" t="str">
        <f ca="1">IFERROR(_xlfn.AGGREGATE(15,6,(ROW($H$6:$H$65))/($H$6:$H$65&gt;0),53),"")</f>
        <v/>
      </c>
    </row>
    <row r="59" spans="2:9" ht="19.5" customHeight="1" x14ac:dyDescent="0.25">
      <c r="B59" s="82" t="str">
        <f ca="1">IF(I59="","",54)</f>
        <v/>
      </c>
      <c r="C59" s="26" t="str">
        <f ca="1">IF(I59="","",INDEX('Cadastro de Produtos'!$B$6:$B$65,I59-6+1))</f>
        <v/>
      </c>
      <c r="D59" s="27" t="str">
        <f t="shared" ca="1" si="2"/>
        <v/>
      </c>
      <c r="E59" s="28" t="str">
        <f t="shared" ca="1" si="3"/>
        <v/>
      </c>
      <c r="F59" s="83"/>
      <c r="H59" s="24">
        <f ca="1">IF('Cadastro de Produtos'!B59="",-1,'Cadastro de Produtos'!D59-SUMIFS(INDIRECT("'"&amp;$D$3&amp;"'!D:D"),INDIRECT("'"&amp;$D$3&amp;"'!B:B"),'Cadastro de Produtos'!B59,INDIRECT("'"&amp;$D$3&amp;"'!J:J"),"✅ Sim"))</f>
        <v>-1</v>
      </c>
      <c r="I59" s="25" t="str">
        <f ca="1">IFERROR(_xlfn.AGGREGATE(15,6,(ROW($H$6:$H$65))/($H$6:$H$65&gt;0),54),"")</f>
        <v/>
      </c>
    </row>
    <row r="60" spans="2:9" ht="19.5" customHeight="1" x14ac:dyDescent="0.25">
      <c r="B60" s="80" t="str">
        <f ca="1">IF(I60="","",55)</f>
        <v/>
      </c>
      <c r="C60" s="21" t="str">
        <f ca="1">IF(I60="","",INDEX('Cadastro de Produtos'!$B$6:$B$65,I60-6+1))</f>
        <v/>
      </c>
      <c r="D60" s="22" t="str">
        <f t="shared" ca="1" si="2"/>
        <v/>
      </c>
      <c r="E60" s="23" t="str">
        <f t="shared" ca="1" si="3"/>
        <v/>
      </c>
      <c r="F60" s="81"/>
      <c r="H60" s="24">
        <f ca="1">IF('Cadastro de Produtos'!B60="",-1,'Cadastro de Produtos'!D60-SUMIFS(INDIRECT("'"&amp;$D$3&amp;"'!D:D"),INDIRECT("'"&amp;$D$3&amp;"'!B:B"),'Cadastro de Produtos'!B60,INDIRECT("'"&amp;$D$3&amp;"'!J:J"),"✅ Sim"))</f>
        <v>-1</v>
      </c>
      <c r="I60" s="25" t="str">
        <f ca="1">IFERROR(_xlfn.AGGREGATE(15,6,(ROW($H$6:$H$65))/($H$6:$H$65&gt;0),55),"")</f>
        <v/>
      </c>
    </row>
    <row r="61" spans="2:9" ht="19.5" customHeight="1" x14ac:dyDescent="0.25">
      <c r="B61" s="82" t="str">
        <f ca="1">IF(I61="","",56)</f>
        <v/>
      </c>
      <c r="C61" s="26" t="str">
        <f ca="1">IF(I61="","",INDEX('Cadastro de Produtos'!$B$6:$B$65,I61-6+1))</f>
        <v/>
      </c>
      <c r="D61" s="27" t="str">
        <f t="shared" ca="1" si="2"/>
        <v/>
      </c>
      <c r="E61" s="28" t="str">
        <f t="shared" ca="1" si="3"/>
        <v/>
      </c>
      <c r="F61" s="83"/>
      <c r="H61" s="24">
        <f ca="1">IF('Cadastro de Produtos'!B61="",-1,'Cadastro de Produtos'!D61-SUMIFS(INDIRECT("'"&amp;$D$3&amp;"'!D:D"),INDIRECT("'"&amp;$D$3&amp;"'!B:B"),'Cadastro de Produtos'!B61,INDIRECT("'"&amp;$D$3&amp;"'!J:J"),"✅ Sim"))</f>
        <v>-1</v>
      </c>
      <c r="I61" s="25" t="str">
        <f ca="1">IFERROR(_xlfn.AGGREGATE(15,6,(ROW($H$6:$H$65))/($H$6:$H$65&gt;0),56),"")</f>
        <v/>
      </c>
    </row>
    <row r="62" spans="2:9" ht="19.5" customHeight="1" x14ac:dyDescent="0.25">
      <c r="B62" s="80" t="str">
        <f ca="1">IF(I62="","",57)</f>
        <v/>
      </c>
      <c r="C62" s="21" t="str">
        <f ca="1">IF(I62="","",INDEX('Cadastro de Produtos'!$B$6:$B$65,I62-6+1))</f>
        <v/>
      </c>
      <c r="D62" s="22" t="str">
        <f t="shared" ca="1" si="2"/>
        <v/>
      </c>
      <c r="E62" s="23" t="str">
        <f t="shared" ca="1" si="3"/>
        <v/>
      </c>
      <c r="F62" s="81"/>
      <c r="H62" s="24">
        <f ca="1">IF('Cadastro de Produtos'!B62="",-1,'Cadastro de Produtos'!D62-SUMIFS(INDIRECT("'"&amp;$D$3&amp;"'!D:D"),INDIRECT("'"&amp;$D$3&amp;"'!B:B"),'Cadastro de Produtos'!B62,INDIRECT("'"&amp;$D$3&amp;"'!J:J"),"✅ Sim"))</f>
        <v>-1</v>
      </c>
      <c r="I62" s="25" t="str">
        <f ca="1">IFERROR(_xlfn.AGGREGATE(15,6,(ROW($H$6:$H$65))/($H$6:$H$65&gt;0),57),"")</f>
        <v/>
      </c>
    </row>
    <row r="63" spans="2:9" ht="19.5" customHeight="1" x14ac:dyDescent="0.25">
      <c r="B63" s="82" t="str">
        <f ca="1">IF(I63="","",58)</f>
        <v/>
      </c>
      <c r="C63" s="26" t="str">
        <f ca="1">IF(I63="","",INDEX('Cadastro de Produtos'!$B$6:$B$65,I63-6+1))</f>
        <v/>
      </c>
      <c r="D63" s="27" t="str">
        <f t="shared" ca="1" si="2"/>
        <v/>
      </c>
      <c r="E63" s="28" t="str">
        <f t="shared" ca="1" si="3"/>
        <v/>
      </c>
      <c r="F63" s="83"/>
      <c r="H63" s="24">
        <f ca="1">IF('Cadastro de Produtos'!B63="",-1,'Cadastro de Produtos'!D63-SUMIFS(INDIRECT("'"&amp;$D$3&amp;"'!D:D"),INDIRECT("'"&amp;$D$3&amp;"'!B:B"),'Cadastro de Produtos'!B63,INDIRECT("'"&amp;$D$3&amp;"'!J:J"),"✅ Sim"))</f>
        <v>-1</v>
      </c>
      <c r="I63" s="25" t="str">
        <f ca="1">IFERROR(_xlfn.AGGREGATE(15,6,(ROW($H$6:$H$65))/($H$6:$H$65&gt;0),58),"")</f>
        <v/>
      </c>
    </row>
    <row r="64" spans="2:9" ht="19.5" customHeight="1" x14ac:dyDescent="0.25">
      <c r="B64" s="80" t="str">
        <f ca="1">IF(I64="","",59)</f>
        <v/>
      </c>
      <c r="C64" s="21" t="str">
        <f ca="1">IF(I64="","",INDEX('Cadastro de Produtos'!$B$6:$B$65,I64-6+1))</f>
        <v/>
      </c>
      <c r="D64" s="22" t="str">
        <f t="shared" ca="1" si="2"/>
        <v/>
      </c>
      <c r="E64" s="23" t="str">
        <f t="shared" ca="1" si="3"/>
        <v/>
      </c>
      <c r="F64" s="81"/>
      <c r="H64" s="24">
        <f ca="1">IF('Cadastro de Produtos'!B64="",-1,'Cadastro de Produtos'!D64-SUMIFS(INDIRECT("'"&amp;$D$3&amp;"'!D:D"),INDIRECT("'"&amp;$D$3&amp;"'!B:B"),'Cadastro de Produtos'!B64,INDIRECT("'"&amp;$D$3&amp;"'!J:J"),"✅ Sim"))</f>
        <v>-1</v>
      </c>
      <c r="I64" s="25" t="str">
        <f ca="1">IFERROR(_xlfn.AGGREGATE(15,6,(ROW($H$6:$H$65))/($H$6:$H$65&gt;0),59),"")</f>
        <v/>
      </c>
    </row>
    <row r="65" spans="2:9" ht="19.5" customHeight="1" thickBot="1" x14ac:dyDescent="0.3">
      <c r="B65" s="84" t="str">
        <f ca="1">IF(I65="","",60)</f>
        <v/>
      </c>
      <c r="C65" s="85" t="str">
        <f ca="1">IF(I65="","",INDEX('Cadastro de Produtos'!$B$6:$B$65,I65-6+1))</f>
        <v/>
      </c>
      <c r="D65" s="86" t="str">
        <f t="shared" ca="1" si="2"/>
        <v/>
      </c>
      <c r="E65" s="87" t="str">
        <f t="shared" ca="1" si="3"/>
        <v/>
      </c>
      <c r="F65" s="88"/>
      <c r="H65" s="24">
        <f ca="1">IF('Cadastro de Produtos'!B65="",-1,'Cadastro de Produtos'!D65-SUMIFS(INDIRECT("'"&amp;$D$3&amp;"'!D:D"),INDIRECT("'"&amp;$D$3&amp;"'!B:B"),'Cadastro de Produtos'!B65,INDIRECT("'"&amp;$D$3&amp;"'!J:J"),"✅ Sim"))</f>
        <v>-1</v>
      </c>
      <c r="I65" s="25" t="str">
        <f ca="1">IFERROR(_xlfn.AGGREGATE(15,6,(ROW($H$6:$H$65))/($H$6:$H$65&gt;0),60),"")</f>
        <v/>
      </c>
    </row>
  </sheetData>
  <sheetProtection sheet="1" autoFilter="0"/>
  <mergeCells count="3">
    <mergeCell ref="B2:F2"/>
    <mergeCell ref="B3:C3"/>
    <mergeCell ref="E3:F3"/>
  </mergeCells>
  <pageMargins left="1.1023622047244095" right="0.70866141732283472" top="0.74803149606299213" bottom="0.74803149606299213" header="0.31496062992125984" footer="0.31496062992125984"/>
  <pageSetup paperSize="9" fitToHeight="0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N64"/>
  <sheetViews>
    <sheetView showGridLines="0" zoomScaleNormal="100" workbookViewId="0">
      <selection activeCell="J9" sqref="J9"/>
    </sheetView>
  </sheetViews>
  <sheetFormatPr defaultColWidth="8.7109375" defaultRowHeight="15" x14ac:dyDescent="0.25"/>
  <cols>
    <col min="1" max="1" width="3" customWidth="1"/>
    <col min="2" max="2" width="18" customWidth="1"/>
    <col min="3" max="5" width="10" customWidth="1"/>
    <col min="6" max="6" width="15.7109375" customWidth="1"/>
    <col min="7" max="7" width="10" customWidth="1"/>
    <col min="8" max="8" width="5.85546875" customWidth="1"/>
    <col min="9" max="14" width="10" customWidth="1"/>
  </cols>
  <sheetData>
    <row r="2" spans="2:7" ht="27.75" customHeight="1" x14ac:dyDescent="0.25">
      <c r="B2" s="58" t="str">
        <f ca="1">"📊  PAINEL — RESULTADO DE "&amp;UPPER('Lista de Produtos'!$D$3)</f>
        <v>📊  PAINEL — RESULTADO DE AGOSTO</v>
      </c>
      <c r="C2" s="58"/>
      <c r="D2" s="58"/>
      <c r="E2" s="58"/>
      <c r="F2" s="58"/>
      <c r="G2" s="58"/>
    </row>
    <row r="4" spans="2:7" ht="21.75" customHeight="1" x14ac:dyDescent="0.25">
      <c r="B4" s="29" t="s">
        <v>83</v>
      </c>
      <c r="D4" s="29" t="s">
        <v>84</v>
      </c>
      <c r="F4" s="30" t="s">
        <v>85</v>
      </c>
    </row>
    <row r="5" spans="2:7" ht="24" x14ac:dyDescent="0.25">
      <c r="B5" s="31" t="s">
        <v>86</v>
      </c>
      <c r="D5" s="31" t="s">
        <v>87</v>
      </c>
      <c r="F5" s="32" t="s">
        <v>88</v>
      </c>
    </row>
    <row r="6" spans="2:7" ht="18.75" x14ac:dyDescent="0.25">
      <c r="B6" s="33">
        <f ca="1">COUNTIF(INDIRECT("'"&amp;'Lista de Produtos'!$D$3&amp;"'!B6:B65"),"?*")</f>
        <v>2</v>
      </c>
      <c r="D6" s="33">
        <f ca="1">COUNTIF(INDIRECT("'"&amp;'Lista de Produtos'!$D$3&amp;"'!J6:J65"),"✅ Sim")</f>
        <v>0</v>
      </c>
      <c r="F6" s="34">
        <f ca="1">SUM(INDIRECT("'"&amp;'Lista de Produtos'!$D$3&amp;"'!I6:I65"))</f>
        <v>27.9</v>
      </c>
    </row>
    <row r="8" spans="2:7" ht="21.75" customHeight="1" x14ac:dyDescent="0.25">
      <c r="B8" s="30" t="s">
        <v>89</v>
      </c>
      <c r="D8" s="60" t="s">
        <v>90</v>
      </c>
      <c r="E8" s="60"/>
    </row>
    <row r="9" spans="2:7" ht="36" customHeight="1" x14ac:dyDescent="0.25">
      <c r="B9" s="32" t="s">
        <v>91</v>
      </c>
      <c r="D9" s="61" t="s">
        <v>92</v>
      </c>
      <c r="E9" s="61"/>
    </row>
    <row r="10" spans="2:7" ht="30" customHeight="1" x14ac:dyDescent="0.25">
      <c r="B10" s="34">
        <f ca="1">SUMIFS(INDIRECT("'"&amp;'Lista de Produtos'!$D$3&amp;"'!I6:I65"),INDIRECT("'"&amp;'Lista de Produtos'!$D$3&amp;"'!J6:J65"),"&lt;&gt;✅ Sim")</f>
        <v>27.9</v>
      </c>
      <c r="D10" s="68" t="str">
        <f ca="1">IF(SUM(INDIRECT("'"&amp;'Lista de Produtos'!$D$3&amp;"'!I6:I65"))=0,"-",IFERROR(INDEX(INDIRECT("'"&amp;'Lista de Produtos'!$D$3&amp;"'!B6:B65"),MATCH(MAX(INDIRECT("'"&amp;'Lista de Produtos'!$D$3&amp;"'!I6:I65")),INDIRECT("'"&amp;'Lista de Produtos'!$D$3&amp;"'!I6:I65"),0)),"-"))</f>
        <v>Leite Integral 1L</v>
      </c>
      <c r="E10" s="68"/>
    </row>
    <row r="12" spans="2:7" ht="28.35" customHeight="1" x14ac:dyDescent="0.25">
      <c r="B12" s="63" t="s">
        <v>93</v>
      </c>
      <c r="C12" s="63"/>
      <c r="F12" s="62" t="s">
        <v>94</v>
      </c>
      <c r="G12" s="62"/>
    </row>
    <row r="13" spans="2:7" ht="15" customHeight="1" x14ac:dyDescent="0.25">
      <c r="B13" s="67" t="s">
        <v>38</v>
      </c>
      <c r="C13" s="67"/>
      <c r="F13" s="67" t="s">
        <v>38</v>
      </c>
      <c r="G13" s="67"/>
    </row>
    <row r="14" spans="2:7" ht="24" customHeight="1" x14ac:dyDescent="0.25">
      <c r="B14" s="35" t="str">
        <f ca="1">IF(C14="","",IFERROR(INDEX(INDIRECT("'"&amp;'Lista de Produtos'!$D$3&amp;"'!$B$6:$B$65"),MATCH(C14,INDIRECT("'"&amp;'Lista de Produtos'!$D$3&amp;"'!$H$6:$H$65"),0)),""))</f>
        <v>Leite Integral 1L</v>
      </c>
      <c r="C14" s="36">
        <f ca="1">IFERROR(IF(_xlfn.AGGREGATE(14,6,(INDIRECT("'"&amp;'Lista de Produtos'!$D$3&amp;"'!$H$6:$H$65"))/((INDIRECT("'"&amp;'Lista de Produtos'!$D$3&amp;"'!$H$6:$H$65"))&gt;0),1)=0,"",_xlfn.AGGREGATE(14,6,(INDIRECT("'"&amp;'Lista de Produtos'!$D$3&amp;"'!$H$6:$H$65"))/((INDIRECT("'"&amp;'Lista de Produtos'!$D$3&amp;"'!$H$6:$H$65"))&gt;0),1)),"")</f>
        <v>0.1111111111111111</v>
      </c>
      <c r="F14" s="35" t="str">
        <f ca="1">IF(G14="","",IFERROR(INDEX(INDIRECT("'"&amp;'Lista de Produtos'!$D$3&amp;"'!$B$6:$B$65"),MATCH(G14,INDIRECT("'"&amp;'Lista de Produtos'!$D$3&amp;"'!$H$6:$H$65"),0)),""))</f>
        <v>Leite Integral 1L</v>
      </c>
      <c r="G14" s="37">
        <f ca="1">IFERROR(IF(_xlfn.AGGREGATE(15,6,(INDIRECT("'"&amp;'Lista de Produtos'!$D$3&amp;"'!$H$6:$H$65"))/((INDIRECT("'"&amp;'Lista de Produtos'!$D$3&amp;"'!$H$6:$H$65"))&lt;0),1)=0,"",_xlfn.AGGREGATE(15,6,(INDIRECT("'"&amp;'Lista de Produtos'!$D$3&amp;"'!$H$6:$H$65"))/((INDIRECT("'"&amp;'Lista de Produtos'!$D$3&amp;"'!$H$6:$H$65"))&lt;0),1)),"")</f>
        <v>-4.4444444444444481E-2</v>
      </c>
    </row>
    <row r="15" spans="2:7" x14ac:dyDescent="0.25">
      <c r="B15" s="38" t="str">
        <f ca="1">IF(C15="","",IFERROR(INDEX(INDIRECT("'"&amp;'Lista de Produtos'!$D$3&amp;"'!$B$6:$B$65"),MATCH(C15,INDIRECT("'"&amp;'Lista de Produtos'!$D$3&amp;"'!$H$6:$H$65"),0)),""))</f>
        <v/>
      </c>
      <c r="C15" s="39" t="str">
        <f ca="1">IFERROR(IF(_xlfn.AGGREGATE(14,6,(INDIRECT("'"&amp;'Lista de Produtos'!$D$3&amp;"'!$H$6:$H$65"))/((INDIRECT("'"&amp;'Lista de Produtos'!$D$3&amp;"'!$H$6:$H$65"))&gt;0),2)=0,"",_xlfn.AGGREGATE(14,6,(INDIRECT("'"&amp;'Lista de Produtos'!$D$3&amp;"'!$H$6:$H$65"))/((INDIRECT("'"&amp;'Lista de Produtos'!$D$3&amp;"'!$H$6:$H$65"))&gt;0),2)),"")</f>
        <v/>
      </c>
      <c r="F15" s="38" t="str">
        <f ca="1">IF(G15="","",IFERROR(INDEX(INDIRECT("'"&amp;'Lista de Produtos'!$D$3&amp;"'!$B$6:$B$65"),MATCH(G15,INDIRECT("'"&amp;'Lista de Produtos'!$D$3&amp;"'!$H$6:$H$65"),0)),""))</f>
        <v/>
      </c>
      <c r="G15" s="40" t="str">
        <f ca="1">IFERROR(IF(_xlfn.AGGREGATE(15,6,(INDIRECT("'"&amp;'Lista de Produtos'!$D$3&amp;"'!$H$6:$H$65"))/((INDIRECT("'"&amp;'Lista de Produtos'!$D$3&amp;"'!$H$6:$H$65"))&lt;0),2)=0,"",_xlfn.AGGREGATE(15,6,(INDIRECT("'"&amp;'Lista de Produtos'!$D$3&amp;"'!$H$6:$H$65"))/((INDIRECT("'"&amp;'Lista de Produtos'!$D$3&amp;"'!$H$6:$H$65"))&lt;0),2)),"")</f>
        <v/>
      </c>
    </row>
    <row r="16" spans="2:7" x14ac:dyDescent="0.25">
      <c r="B16" s="35" t="str">
        <f ca="1">IF(C16="","",IFERROR(INDEX(INDIRECT("'"&amp;'Lista de Produtos'!$D$3&amp;"'!$B$6:$B$65"),MATCH(C16,INDIRECT("'"&amp;'Lista de Produtos'!$D$3&amp;"'!$H$6:$H$65"),0)),""))</f>
        <v/>
      </c>
      <c r="C16" s="36" t="str">
        <f ca="1">IFERROR(IF(_xlfn.AGGREGATE(14,6,(INDIRECT("'"&amp;'Lista de Produtos'!$D$3&amp;"'!$H$6:$H$65"))/((INDIRECT("'"&amp;'Lista de Produtos'!$D$3&amp;"'!$H$6:$H$65"))&gt;0),3)=0,"",_xlfn.AGGREGATE(14,6,(INDIRECT("'"&amp;'Lista de Produtos'!$D$3&amp;"'!$H$6:$H$65"))/((INDIRECT("'"&amp;'Lista de Produtos'!$D$3&amp;"'!$H$6:$H$65"))&gt;0),3)),"")</f>
        <v/>
      </c>
      <c r="F16" s="35" t="str">
        <f ca="1">IF(G16="","",IFERROR(INDEX(INDIRECT("'"&amp;'Lista de Produtos'!$D$3&amp;"'!$B$6:$B$65"),MATCH(G16,INDIRECT("'"&amp;'Lista de Produtos'!$D$3&amp;"'!$H$6:$H$65"),0)),""))</f>
        <v/>
      </c>
      <c r="G16" s="37" t="str">
        <f ca="1">IFERROR(IF(_xlfn.AGGREGATE(15,6,(INDIRECT("'"&amp;'Lista de Produtos'!$D$3&amp;"'!$H$6:$H$65"))/((INDIRECT("'"&amp;'Lista de Produtos'!$D$3&amp;"'!$H$6:$H$65"))&lt;0),3)=0,"",_xlfn.AGGREGATE(15,6,(INDIRECT("'"&amp;'Lista de Produtos'!$D$3&amp;"'!$H$6:$H$65"))/((INDIRECT("'"&amp;'Lista de Produtos'!$D$3&amp;"'!$H$6:$H$65"))&lt;0),3)),"")</f>
        <v/>
      </c>
    </row>
    <row r="17" spans="2:7" x14ac:dyDescent="0.25">
      <c r="B17" s="38" t="str">
        <f ca="1">IF(C17="","",IFERROR(INDEX(INDIRECT("'"&amp;'Lista de Produtos'!$D$3&amp;"'!$B$6:$B$65"),MATCH(C17,INDIRECT("'"&amp;'Lista de Produtos'!$D$3&amp;"'!$H$6:$H$65"),0)),""))</f>
        <v/>
      </c>
      <c r="C17" s="39" t="str">
        <f ca="1">IFERROR(IF(_xlfn.AGGREGATE(14,6,(INDIRECT("'"&amp;'Lista de Produtos'!$D$3&amp;"'!$H$6:$H$65"))/((INDIRECT("'"&amp;'Lista de Produtos'!$D$3&amp;"'!$H$6:$H$65"))&gt;0),4)=0,"",_xlfn.AGGREGATE(14,6,(INDIRECT("'"&amp;'Lista de Produtos'!$D$3&amp;"'!$H$6:$H$65"))/((INDIRECT("'"&amp;'Lista de Produtos'!$D$3&amp;"'!$H$6:$H$65"))&gt;0),4)),"")</f>
        <v/>
      </c>
      <c r="F17" s="38" t="str">
        <f ca="1">IF(G17="","",IFERROR(INDEX(INDIRECT("'"&amp;'Lista de Produtos'!$D$3&amp;"'!$B$6:$B$65"),MATCH(G17,INDIRECT("'"&amp;'Lista de Produtos'!$D$3&amp;"'!$H$6:$H$65"),0)),""))</f>
        <v/>
      </c>
      <c r="G17" s="40" t="str">
        <f ca="1">IFERROR(IF(_xlfn.AGGREGATE(15,6,(INDIRECT("'"&amp;'Lista de Produtos'!$D$3&amp;"'!$H$6:$H$65"))/((INDIRECT("'"&amp;'Lista de Produtos'!$D$3&amp;"'!$H$6:$H$65"))&lt;0),4)=0,"",_xlfn.AGGREGATE(15,6,(INDIRECT("'"&amp;'Lista de Produtos'!$D$3&amp;"'!$H$6:$H$65"))/((INDIRECT("'"&amp;'Lista de Produtos'!$D$3&amp;"'!$H$6:$H$65"))&lt;0),4)),"")</f>
        <v/>
      </c>
    </row>
    <row r="18" spans="2:7" x14ac:dyDescent="0.25">
      <c r="B18" s="35" t="str">
        <f ca="1">IF(C18="","",IFERROR(INDEX(INDIRECT("'"&amp;'Lista de Produtos'!$D$3&amp;"'!$B$6:$B$65"),MATCH(C18,INDIRECT("'"&amp;'Lista de Produtos'!$D$3&amp;"'!$H$6:$H$65"),0)),""))</f>
        <v/>
      </c>
      <c r="C18" s="36" t="str">
        <f ca="1">IFERROR(IF(_xlfn.AGGREGATE(14,6,(INDIRECT("'"&amp;'Lista de Produtos'!$D$3&amp;"'!$H$6:$H$65"))/((INDIRECT("'"&amp;'Lista de Produtos'!$D$3&amp;"'!$H$6:$H$65"))&gt;0),5)=0,"",_xlfn.AGGREGATE(14,6,(INDIRECT("'"&amp;'Lista de Produtos'!$D$3&amp;"'!$H$6:$H$65"))/((INDIRECT("'"&amp;'Lista de Produtos'!$D$3&amp;"'!$H$6:$H$65"))&gt;0),5)),"")</f>
        <v/>
      </c>
      <c r="F18" s="35" t="str">
        <f ca="1">IF(G18="","",IFERROR(INDEX(INDIRECT("'"&amp;'Lista de Produtos'!$D$3&amp;"'!$B$6:$B$65"),MATCH(G18,INDIRECT("'"&amp;'Lista de Produtos'!$D$3&amp;"'!$H$6:$H$65"),0)),""))</f>
        <v/>
      </c>
      <c r="G18" s="37" t="str">
        <f ca="1">IFERROR(IF(_xlfn.AGGREGATE(15,6,(INDIRECT("'"&amp;'Lista de Produtos'!$D$3&amp;"'!$H$6:$H$65"))/((INDIRECT("'"&amp;'Lista de Produtos'!$D$3&amp;"'!$H$6:$H$65"))&lt;0),5)=0,"",_xlfn.AGGREGATE(15,6,(INDIRECT("'"&amp;'Lista de Produtos'!$D$3&amp;"'!$H$6:$H$65"))/((INDIRECT("'"&amp;'Lista de Produtos'!$D$3&amp;"'!$H$6:$H$65"))&lt;0),5)),"")</f>
        <v/>
      </c>
    </row>
    <row r="21" spans="2:7" ht="15" customHeight="1" x14ac:dyDescent="0.25">
      <c r="B21" s="66" t="s">
        <v>95</v>
      </c>
      <c r="C21" s="66"/>
      <c r="D21" s="66"/>
    </row>
    <row r="22" spans="2:7" ht="15" customHeight="1" x14ac:dyDescent="0.25">
      <c r="B22" s="6" t="s">
        <v>96</v>
      </c>
      <c r="C22" s="67" t="s">
        <v>97</v>
      </c>
      <c r="D22" s="67"/>
    </row>
    <row r="23" spans="2:7" x14ac:dyDescent="0.25">
      <c r="B23" s="35" t="s">
        <v>98</v>
      </c>
      <c r="C23" s="64">
        <f>SUM(Janeiro!I6:I65)</f>
        <v>0</v>
      </c>
      <c r="D23" s="64"/>
    </row>
    <row r="24" spans="2:7" x14ac:dyDescent="0.25">
      <c r="B24" s="38" t="s">
        <v>99</v>
      </c>
      <c r="C24" s="65">
        <f>SUM(Fevereiro!I6:I65)</f>
        <v>0</v>
      </c>
      <c r="D24" s="65"/>
    </row>
    <row r="25" spans="2:7" x14ac:dyDescent="0.25">
      <c r="B25" s="35" t="s">
        <v>100</v>
      </c>
      <c r="C25" s="64">
        <f>SUM(Março!I6:I65)</f>
        <v>0</v>
      </c>
      <c r="D25" s="64"/>
    </row>
    <row r="26" spans="2:7" x14ac:dyDescent="0.25">
      <c r="B26" s="38" t="s">
        <v>101</v>
      </c>
      <c r="C26" s="65">
        <f>SUM(Abril!I6:I65)</f>
        <v>0</v>
      </c>
      <c r="D26" s="65"/>
    </row>
    <row r="27" spans="2:7" x14ac:dyDescent="0.25">
      <c r="B27" s="35" t="s">
        <v>102</v>
      </c>
      <c r="C27" s="64">
        <f>SUM(Maio!I6:I65)</f>
        <v>0</v>
      </c>
      <c r="D27" s="64"/>
    </row>
    <row r="28" spans="2:7" x14ac:dyDescent="0.25">
      <c r="B28" s="38" t="s">
        <v>103</v>
      </c>
      <c r="C28" s="65">
        <f>SUM(Junho!I6:I65)</f>
        <v>0</v>
      </c>
      <c r="D28" s="65"/>
    </row>
    <row r="29" spans="2:7" x14ac:dyDescent="0.25">
      <c r="B29" s="35" t="s">
        <v>104</v>
      </c>
      <c r="C29" s="64">
        <f>SUM(Julho!I6:I65)</f>
        <v>0</v>
      </c>
      <c r="D29" s="64"/>
    </row>
    <row r="30" spans="2:7" x14ac:dyDescent="0.25">
      <c r="B30" s="38" t="s">
        <v>105</v>
      </c>
      <c r="C30" s="65">
        <f>SUM(Agosto!I6:I65)</f>
        <v>27.9</v>
      </c>
      <c r="D30" s="65"/>
    </row>
    <row r="31" spans="2:7" x14ac:dyDescent="0.25">
      <c r="B31" s="35" t="s">
        <v>106</v>
      </c>
      <c r="C31" s="64">
        <f>SUM(Setembro!I6:I65)</f>
        <v>0</v>
      </c>
      <c r="D31" s="64"/>
    </row>
    <row r="32" spans="2:7" x14ac:dyDescent="0.25">
      <c r="B32" s="38" t="s">
        <v>107</v>
      </c>
      <c r="C32" s="65">
        <f>SUM(Outubro!I6:I65)</f>
        <v>0</v>
      </c>
      <c r="D32" s="65"/>
    </row>
    <row r="33" spans="2:14" x14ac:dyDescent="0.25">
      <c r="B33" s="35" t="s">
        <v>108</v>
      </c>
      <c r="C33" s="64">
        <f>SUM(Novembro!I6:I65)</f>
        <v>0</v>
      </c>
      <c r="D33" s="64"/>
    </row>
    <row r="34" spans="2:14" x14ac:dyDescent="0.25">
      <c r="B34" s="38" t="s">
        <v>109</v>
      </c>
      <c r="C34" s="65">
        <f>SUM(Dezembro!I6:I65)</f>
        <v>0</v>
      </c>
      <c r="D34" s="65"/>
    </row>
    <row r="40" spans="2:14" ht="15" customHeight="1" x14ac:dyDescent="0.25">
      <c r="B40" s="48" t="s">
        <v>110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</row>
    <row r="41" spans="2:14" x14ac:dyDescent="0.25">
      <c r="B41" s="41" t="s">
        <v>111</v>
      </c>
      <c r="C41" s="42" t="str">
        <f>IFERROR(SUM(Janeiro!$I:$I)/SUM(Janeiro!$D:$D),"")</f>
        <v/>
      </c>
      <c r="D41" s="42" t="str">
        <f>IFERROR(SUM(Fevereiro!$I:$I)/SUM(Fevereiro!$D:$D),"")</f>
        <v/>
      </c>
      <c r="E41" s="42" t="str">
        <f>IFERROR(SUM(Março!$I:$I)/SUM(Março!$D:$D),"")</f>
        <v/>
      </c>
      <c r="F41" s="42" t="str">
        <f>IFERROR(SUM(Abril!$I:$I)/SUM(Abril!$D:$D),"")</f>
        <v/>
      </c>
      <c r="G41" s="42" t="str">
        <f>IFERROR(SUM(Maio!$I:$I)/SUM(Maio!$D:$D),"")</f>
        <v/>
      </c>
      <c r="H41" s="42" t="str">
        <f>IFERROR(SUM(Junho!$I:$I)/SUM(Junho!$D:$D),"")</f>
        <v/>
      </c>
      <c r="I41" s="42" t="str">
        <f>IFERROR(SUM(Julho!$I:$I)/SUM(Julho!$D:$D),"")</f>
        <v/>
      </c>
      <c r="J41" s="42">
        <f>IFERROR(SUM(Agosto!$I:$I)/SUM(Agosto!$D:$D),"")</f>
        <v>4.6499999999999995</v>
      </c>
      <c r="K41" s="42" t="str">
        <f>IFERROR(SUM(Setembro!$I:$I)/SUM(Setembro!$D:$D),"")</f>
        <v/>
      </c>
      <c r="L41" s="42" t="str">
        <f>IFERROR(SUM(Outubro!$I:$I)/SUM(Outubro!$D:$D),"")</f>
        <v/>
      </c>
      <c r="M41" s="42" t="str">
        <f>IFERROR(SUM(Novembro!$I:$I)/SUM(Novembro!$D:$D),"")</f>
        <v/>
      </c>
      <c r="N41" s="42" t="str">
        <f>IFERROR(SUM(Dezembro!$I:$I)/SUM(Dezembro!$D:$D),"")</f>
        <v/>
      </c>
    </row>
    <row r="42" spans="2:14" x14ac:dyDescent="0.25">
      <c r="B42" s="6" t="s">
        <v>112</v>
      </c>
      <c r="C42" s="6" t="s">
        <v>113</v>
      </c>
      <c r="D42" s="6" t="s">
        <v>114</v>
      </c>
      <c r="E42" s="6" t="s">
        <v>115</v>
      </c>
      <c r="F42" s="6" t="s">
        <v>116</v>
      </c>
      <c r="G42" s="6" t="s">
        <v>117</v>
      </c>
      <c r="H42" s="6" t="s">
        <v>118</v>
      </c>
      <c r="I42" s="6" t="s">
        <v>119</v>
      </c>
      <c r="J42" s="6" t="s">
        <v>120</v>
      </c>
      <c r="K42" s="6" t="s">
        <v>121</v>
      </c>
      <c r="L42" s="6" t="s">
        <v>122</v>
      </c>
      <c r="M42" s="6" t="s">
        <v>123</v>
      </c>
      <c r="N42" s="6" t="s">
        <v>124</v>
      </c>
    </row>
    <row r="43" spans="2:14" x14ac:dyDescent="0.25">
      <c r="B43" s="35" t="str">
        <f>IF('Cadastro de Produtos'!F6="","",'Cadastro de Produtos'!F6)</f>
        <v>Mercado A</v>
      </c>
      <c r="C43" s="43" t="str">
        <f>IF('Cadastro de Produtos'!F6="","",IF(SUMIF(Janeiro!$F:$F,'Cadastro de Produtos'!F6,Janeiro!$D:$D)=0,"",(SUMIF(Janeiro!$F:$F,'Cadastro de Produtos'!F6,Janeiro!$I:$I)/SUMIF(Janeiro!$F:$F,'Cadastro de Produtos'!F6,Janeiro!$D:$D)-C41)/C41))</f>
        <v/>
      </c>
      <c r="D43" s="43" t="str">
        <f>IF('Cadastro de Produtos'!F6="","",IF(SUMIF(Fevereiro!$F:$F,'Cadastro de Produtos'!F6,Fevereiro!$D:$D)=0,"",(SUMIF(Fevereiro!$F:$F,'Cadastro de Produtos'!F6,Fevereiro!$I:$I)/SUMIF(Fevereiro!$F:$F,'Cadastro de Produtos'!F6,Fevereiro!$D:$D)-D41)/D41))</f>
        <v/>
      </c>
      <c r="E43" s="43" t="str">
        <f>IF('Cadastro de Produtos'!F6="","",IF(SUMIF(Março!$F:$F,'Cadastro de Produtos'!F6,Março!$D:$D)=0,"",(SUMIF(Março!$F:$F,'Cadastro de Produtos'!F6,Março!$I:$I)/SUMIF(Março!$F:$F,'Cadastro de Produtos'!F6,Março!$D:$D)-E41)/E41))</f>
        <v/>
      </c>
      <c r="F43" s="43" t="str">
        <f>IF('Cadastro de Produtos'!F6="","",IF(SUMIF(Abril!$F:$F,'Cadastro de Produtos'!F6,Abril!$D:$D)=0,"",(SUMIF(Abril!$F:$F,'Cadastro de Produtos'!F6,Abril!$I:$I)/SUMIF(Abril!$F:$F,'Cadastro de Produtos'!F6,Abril!$D:$D)-F41)/F41))</f>
        <v/>
      </c>
      <c r="G43" s="43" t="str">
        <f>IF('Cadastro de Produtos'!F6="","",IF(SUMIF(Maio!$F:$F,'Cadastro de Produtos'!F6,Maio!$D:$D)=0,"",(SUMIF(Maio!$F:$F,'Cadastro de Produtos'!F6,Maio!$I:$I)/SUMIF(Maio!$F:$F,'Cadastro de Produtos'!F6,Maio!$D:$D)-G41)/G41))</f>
        <v/>
      </c>
      <c r="H43" s="43" t="str">
        <f>IF('Cadastro de Produtos'!F6="","",IF(SUMIF(Junho!$F:$F,'Cadastro de Produtos'!F6,Junho!$D:$D)=0,"",(SUMIF(Junho!$F:$F,'Cadastro de Produtos'!F6,Junho!$I:$I)/SUMIF(Junho!$F:$F,'Cadastro de Produtos'!F6,Junho!$D:$D)-H41)/H41))</f>
        <v/>
      </c>
      <c r="I43" s="43" t="str">
        <f>IF('Cadastro de Produtos'!F6="","",IF(SUMIF(Julho!$F:$F,'Cadastro de Produtos'!F6,Julho!$D:$D)=0,"",(SUMIF(Julho!$F:$F,'Cadastro de Produtos'!F6,Julho!$I:$I)/SUMIF(Julho!$F:$F,'Cadastro de Produtos'!F6,Julho!$D:$D)-I41)/I41))</f>
        <v/>
      </c>
      <c r="J43" s="43">
        <f>IF('Cadastro de Produtos'!F6="","",IF(SUMIF(Agosto!$F:$F,'Cadastro de Produtos'!F6,Agosto!$D:$D)=0,"",(SUMIF(Agosto!$F:$F,'Cadastro de Produtos'!F6,Agosto!$I:$I)/SUMIF(Agosto!$F:$F,'Cadastro de Produtos'!F6,Agosto!$D:$D)-J41)/J41))</f>
        <v>7.5268817204301203E-2</v>
      </c>
      <c r="K43" s="43" t="str">
        <f>IF('Cadastro de Produtos'!F6="","",IF(SUMIF(Setembro!$F:$F,'Cadastro de Produtos'!F6,Setembro!$D:$D)=0,"",(SUMIF(Setembro!$F:$F,'Cadastro de Produtos'!F6,Setembro!$I:$I)/SUMIF(Setembro!$F:$F,'Cadastro de Produtos'!F6,Setembro!$D:$D)-K41)/K41))</f>
        <v/>
      </c>
      <c r="L43" s="43" t="str">
        <f>IF('Cadastro de Produtos'!F6="","",IF(SUMIF(Outubro!$F:$F,'Cadastro de Produtos'!F6,Outubro!$D:$D)=0,"",(SUMIF(Outubro!$F:$F,'Cadastro de Produtos'!F6,Outubro!$I:$I)/SUMIF(Outubro!$F:$F,'Cadastro de Produtos'!F6,Outubro!$D:$D)-L41)/L41))</f>
        <v/>
      </c>
      <c r="M43" s="43" t="str">
        <f>IF('Cadastro de Produtos'!F6="","",IF(SUMIF(Novembro!$F:$F,'Cadastro de Produtos'!F6,Novembro!$D:$D)=0,"",(SUMIF(Novembro!$F:$F,'Cadastro de Produtos'!F6,Novembro!$I:$I)/SUMIF(Novembro!$F:$F,'Cadastro de Produtos'!F6,Novembro!$D:$D)-M41)/M41))</f>
        <v/>
      </c>
      <c r="N43" s="43" t="str">
        <f>IF('Cadastro de Produtos'!F6="","",IF(SUMIF(Dezembro!$F:$F,'Cadastro de Produtos'!F6,Dezembro!$D:$D)=0,"",(SUMIF(Dezembro!$F:$F,'Cadastro de Produtos'!F6,Dezembro!$I:$I)/SUMIF(Dezembro!$F:$F,'Cadastro de Produtos'!F6,Dezembro!$D:$D)-N41)/N41))</f>
        <v/>
      </c>
    </row>
    <row r="44" spans="2:14" x14ac:dyDescent="0.25">
      <c r="B44" s="38" t="str">
        <f>IF('Cadastro de Produtos'!F7="","",'Cadastro de Produtos'!F7)</f>
        <v>Mercado B</v>
      </c>
      <c r="C44" s="44" t="str">
        <f>IF('Cadastro de Produtos'!F7="","",IF(SUMIF(Janeiro!$F:$F,'Cadastro de Produtos'!F7,Janeiro!$D:$D)=0,"",(SUMIF(Janeiro!$F:$F,'Cadastro de Produtos'!F7,Janeiro!$I:$I)/SUMIF(Janeiro!$F:$F,'Cadastro de Produtos'!F7,Janeiro!$D:$D)-C41)/C41))</f>
        <v/>
      </c>
      <c r="D44" s="44" t="str">
        <f>IF('Cadastro de Produtos'!F7="","",IF(SUMIF(Fevereiro!$F:$F,'Cadastro de Produtos'!F7,Fevereiro!$D:$D)=0,"",(SUMIF(Fevereiro!$F:$F,'Cadastro de Produtos'!F7,Fevereiro!$I:$I)/SUMIF(Fevereiro!$F:$F,'Cadastro de Produtos'!F7,Fevereiro!$D:$D)-D41)/D41))</f>
        <v/>
      </c>
      <c r="E44" s="44" t="str">
        <f>IF('Cadastro de Produtos'!F7="","",IF(SUMIF(Março!$F:$F,'Cadastro de Produtos'!F7,Março!$D:$D)=0,"",(SUMIF(Março!$F:$F,'Cadastro de Produtos'!F7,Março!$I:$I)/SUMIF(Março!$F:$F,'Cadastro de Produtos'!F7,Março!$D:$D)-E41)/E41))</f>
        <v/>
      </c>
      <c r="F44" s="44" t="str">
        <f>IF('Cadastro de Produtos'!F7="","",IF(SUMIF(Abril!$F:$F,'Cadastro de Produtos'!F7,Abril!$D:$D)=0,"",(SUMIF(Abril!$F:$F,'Cadastro de Produtos'!F7,Abril!$I:$I)/SUMIF(Abril!$F:$F,'Cadastro de Produtos'!F7,Abril!$D:$D)-F41)/F41))</f>
        <v/>
      </c>
      <c r="G44" s="44" t="str">
        <f>IF('Cadastro de Produtos'!F7="","",IF(SUMIF(Maio!$F:$F,'Cadastro de Produtos'!F7,Maio!$D:$D)=0,"",(SUMIF(Maio!$F:$F,'Cadastro de Produtos'!F7,Maio!$I:$I)/SUMIF(Maio!$F:$F,'Cadastro de Produtos'!F7,Maio!$D:$D)-G41)/G41))</f>
        <v/>
      </c>
      <c r="H44" s="44" t="str">
        <f>IF('Cadastro de Produtos'!F7="","",IF(SUMIF(Junho!$F:$F,'Cadastro de Produtos'!F7,Junho!$D:$D)=0,"",(SUMIF(Junho!$F:$F,'Cadastro de Produtos'!F7,Junho!$I:$I)/SUMIF(Junho!$F:$F,'Cadastro de Produtos'!F7,Junho!$D:$D)-H41)/H41))</f>
        <v/>
      </c>
      <c r="I44" s="44" t="str">
        <f>IF('Cadastro de Produtos'!F7="","",IF(SUMIF(Julho!$F:$F,'Cadastro de Produtos'!F7,Julho!$D:$D)=0,"",(SUMIF(Julho!$F:$F,'Cadastro de Produtos'!F7,Julho!$I:$I)/SUMIF(Julho!$F:$F,'Cadastro de Produtos'!F7,Julho!$D:$D)-I41)/I41))</f>
        <v/>
      </c>
      <c r="J44" s="44">
        <f>IF('Cadastro de Produtos'!F7="","",IF(SUMIF(Agosto!$F:$F,'Cadastro de Produtos'!F7,Agosto!$D:$D)=0,"",(SUMIF(Agosto!$F:$F,'Cadastro de Produtos'!F7,Agosto!$I:$I)/SUMIF(Agosto!$F:$F,'Cadastro de Produtos'!F7,Agosto!$D:$D)-J41)/J41))</f>
        <v>-7.5268817204301008E-2</v>
      </c>
      <c r="K44" s="44" t="str">
        <f>IF('Cadastro de Produtos'!F7="","",IF(SUMIF(Setembro!$F:$F,'Cadastro de Produtos'!F7,Setembro!$D:$D)=0,"",(SUMIF(Setembro!$F:$F,'Cadastro de Produtos'!F7,Setembro!$I:$I)/SUMIF(Setembro!$F:$F,'Cadastro de Produtos'!F7,Setembro!$D:$D)-K41)/K41))</f>
        <v/>
      </c>
      <c r="L44" s="44" t="str">
        <f>IF('Cadastro de Produtos'!F7="","",IF(SUMIF(Outubro!$F:$F,'Cadastro de Produtos'!F7,Outubro!$D:$D)=0,"",(SUMIF(Outubro!$F:$F,'Cadastro de Produtos'!F7,Outubro!$I:$I)/SUMIF(Outubro!$F:$F,'Cadastro de Produtos'!F7,Outubro!$D:$D)-L41)/L41))</f>
        <v/>
      </c>
      <c r="M44" s="44" t="str">
        <f>IF('Cadastro de Produtos'!F7="","",IF(SUMIF(Novembro!$F:$F,'Cadastro de Produtos'!F7,Novembro!$D:$D)=0,"",(SUMIF(Novembro!$F:$F,'Cadastro de Produtos'!F7,Novembro!$I:$I)/SUMIF(Novembro!$F:$F,'Cadastro de Produtos'!F7,Novembro!$D:$D)-M41)/M41))</f>
        <v/>
      </c>
      <c r="N44" s="44" t="str">
        <f>IF('Cadastro de Produtos'!F7="","",IF(SUMIF(Dezembro!$F:$F,'Cadastro de Produtos'!F7,Dezembro!$D:$D)=0,"",(SUMIF(Dezembro!$F:$F,'Cadastro de Produtos'!F7,Dezembro!$I:$I)/SUMIF(Dezembro!$F:$F,'Cadastro de Produtos'!F7,Dezembro!$D:$D)-N41)/N41))</f>
        <v/>
      </c>
    </row>
    <row r="45" spans="2:14" x14ac:dyDescent="0.25">
      <c r="B45" s="35" t="str">
        <f>IF('Cadastro de Produtos'!F8="","",'Cadastro de Produtos'!F8)</f>
        <v/>
      </c>
      <c r="C45" s="43" t="str">
        <f>IF('Cadastro de Produtos'!F8="","",IF(SUMIF(Janeiro!$F:$F,'Cadastro de Produtos'!F8,Janeiro!$D:$D)=0,"",(SUMIF(Janeiro!$F:$F,'Cadastro de Produtos'!F8,Janeiro!$I:$I)/SUMIF(Janeiro!$F:$F,'Cadastro de Produtos'!F8,Janeiro!$D:$D)-C41)/C41))</f>
        <v/>
      </c>
      <c r="D45" s="43" t="str">
        <f>IF('Cadastro de Produtos'!F8="","",IF(SUMIF(Fevereiro!$F:$F,'Cadastro de Produtos'!F8,Fevereiro!$D:$D)=0,"",(SUMIF(Fevereiro!$F:$F,'Cadastro de Produtos'!F8,Fevereiro!$I:$I)/SUMIF(Fevereiro!$F:$F,'Cadastro de Produtos'!F8,Fevereiro!$D:$D)-D41)/D41))</f>
        <v/>
      </c>
      <c r="E45" s="43" t="str">
        <f>IF('Cadastro de Produtos'!F8="","",IF(SUMIF(Março!$F:$F,'Cadastro de Produtos'!F8,Março!$D:$D)=0,"",(SUMIF(Março!$F:$F,'Cadastro de Produtos'!F8,Março!$I:$I)/SUMIF(Março!$F:$F,'Cadastro de Produtos'!F8,Março!$D:$D)-E41)/E41))</f>
        <v/>
      </c>
      <c r="F45" s="43" t="str">
        <f>IF('Cadastro de Produtos'!F8="","",IF(SUMIF(Abril!$F:$F,'Cadastro de Produtos'!F8,Abril!$D:$D)=0,"",(SUMIF(Abril!$F:$F,'Cadastro de Produtos'!F8,Abril!$I:$I)/SUMIF(Abril!$F:$F,'Cadastro de Produtos'!F8,Abril!$D:$D)-F41)/F41))</f>
        <v/>
      </c>
      <c r="G45" s="43" t="str">
        <f>IF('Cadastro de Produtos'!F8="","",IF(SUMIF(Maio!$F:$F,'Cadastro de Produtos'!F8,Maio!$D:$D)=0,"",(SUMIF(Maio!$F:$F,'Cadastro de Produtos'!F8,Maio!$I:$I)/SUMIF(Maio!$F:$F,'Cadastro de Produtos'!F8,Maio!$D:$D)-G41)/G41))</f>
        <v/>
      </c>
      <c r="H45" s="43" t="str">
        <f>IF('Cadastro de Produtos'!F8="","",IF(SUMIF(Junho!$F:$F,'Cadastro de Produtos'!F8,Junho!$D:$D)=0,"",(SUMIF(Junho!$F:$F,'Cadastro de Produtos'!F8,Junho!$I:$I)/SUMIF(Junho!$F:$F,'Cadastro de Produtos'!F8,Junho!$D:$D)-H41)/H41))</f>
        <v/>
      </c>
      <c r="I45" s="43" t="str">
        <f>IF('Cadastro de Produtos'!F8="","",IF(SUMIF(Julho!$F:$F,'Cadastro de Produtos'!F8,Julho!$D:$D)=0,"",(SUMIF(Julho!$F:$F,'Cadastro de Produtos'!F8,Julho!$I:$I)/SUMIF(Julho!$F:$F,'Cadastro de Produtos'!F8,Julho!$D:$D)-I41)/I41))</f>
        <v/>
      </c>
      <c r="J45" s="43" t="str">
        <f>IF('Cadastro de Produtos'!F8="","",IF(SUMIF(Agosto!$F:$F,'Cadastro de Produtos'!F8,Agosto!$D:$D)=0,"",(SUMIF(Agosto!$F:$F,'Cadastro de Produtos'!F8,Agosto!$I:$I)/SUMIF(Agosto!$F:$F,'Cadastro de Produtos'!F8,Agosto!$D:$D)-J41)/J41))</f>
        <v/>
      </c>
      <c r="K45" s="43" t="str">
        <f>IF('Cadastro de Produtos'!F8="","",IF(SUMIF(Setembro!$F:$F,'Cadastro de Produtos'!F8,Setembro!$D:$D)=0,"",(SUMIF(Setembro!$F:$F,'Cadastro de Produtos'!F8,Setembro!$I:$I)/SUMIF(Setembro!$F:$F,'Cadastro de Produtos'!F8,Setembro!$D:$D)-K41)/K41))</f>
        <v/>
      </c>
      <c r="L45" s="43" t="str">
        <f>IF('Cadastro de Produtos'!F8="","",IF(SUMIF(Outubro!$F:$F,'Cadastro de Produtos'!F8,Outubro!$D:$D)=0,"",(SUMIF(Outubro!$F:$F,'Cadastro de Produtos'!F8,Outubro!$I:$I)/SUMIF(Outubro!$F:$F,'Cadastro de Produtos'!F8,Outubro!$D:$D)-L41)/L41))</f>
        <v/>
      </c>
      <c r="M45" s="43" t="str">
        <f>IF('Cadastro de Produtos'!F8="","",IF(SUMIF(Novembro!$F:$F,'Cadastro de Produtos'!F8,Novembro!$D:$D)=0,"",(SUMIF(Novembro!$F:$F,'Cadastro de Produtos'!F8,Novembro!$I:$I)/SUMIF(Novembro!$F:$F,'Cadastro de Produtos'!F8,Novembro!$D:$D)-M41)/M41))</f>
        <v/>
      </c>
      <c r="N45" s="43" t="str">
        <f>IF('Cadastro de Produtos'!F8="","",IF(SUMIF(Dezembro!$F:$F,'Cadastro de Produtos'!F8,Dezembro!$D:$D)=0,"",(SUMIF(Dezembro!$F:$F,'Cadastro de Produtos'!F8,Dezembro!$I:$I)/SUMIF(Dezembro!$F:$F,'Cadastro de Produtos'!F8,Dezembro!$D:$D)-N41)/N41))</f>
        <v/>
      </c>
    </row>
    <row r="46" spans="2:14" x14ac:dyDescent="0.25">
      <c r="B46" s="38" t="str">
        <f>IF('Cadastro de Produtos'!F9="","",'Cadastro de Produtos'!F9)</f>
        <v/>
      </c>
      <c r="C46" s="44" t="str">
        <f>IF('Cadastro de Produtos'!F9="","",IF(SUMIF(Janeiro!$F:$F,'Cadastro de Produtos'!F9,Janeiro!$D:$D)=0,"",(SUMIF(Janeiro!$F:$F,'Cadastro de Produtos'!F9,Janeiro!$I:$I)/SUMIF(Janeiro!$F:$F,'Cadastro de Produtos'!F9,Janeiro!$D:$D)-C41)/C41))</f>
        <v/>
      </c>
      <c r="D46" s="44" t="str">
        <f>IF('Cadastro de Produtos'!F9="","",IF(SUMIF(Fevereiro!$F:$F,'Cadastro de Produtos'!F9,Fevereiro!$D:$D)=0,"",(SUMIF(Fevereiro!$F:$F,'Cadastro de Produtos'!F9,Fevereiro!$I:$I)/SUMIF(Fevereiro!$F:$F,'Cadastro de Produtos'!F9,Fevereiro!$D:$D)-D41)/D41))</f>
        <v/>
      </c>
      <c r="E46" s="44" t="str">
        <f>IF('Cadastro de Produtos'!F9="","",IF(SUMIF(Março!$F:$F,'Cadastro de Produtos'!F9,Março!$D:$D)=0,"",(SUMIF(Março!$F:$F,'Cadastro de Produtos'!F9,Março!$I:$I)/SUMIF(Março!$F:$F,'Cadastro de Produtos'!F9,Março!$D:$D)-E41)/E41))</f>
        <v/>
      </c>
      <c r="F46" s="44" t="str">
        <f>IF('Cadastro de Produtos'!F9="","",IF(SUMIF(Abril!$F:$F,'Cadastro de Produtos'!F9,Abril!$D:$D)=0,"",(SUMIF(Abril!$F:$F,'Cadastro de Produtos'!F9,Abril!$I:$I)/SUMIF(Abril!$F:$F,'Cadastro de Produtos'!F9,Abril!$D:$D)-F41)/F41))</f>
        <v/>
      </c>
      <c r="G46" s="44" t="str">
        <f>IF('Cadastro de Produtos'!F9="","",IF(SUMIF(Maio!$F:$F,'Cadastro de Produtos'!F9,Maio!$D:$D)=0,"",(SUMIF(Maio!$F:$F,'Cadastro de Produtos'!F9,Maio!$I:$I)/SUMIF(Maio!$F:$F,'Cadastro de Produtos'!F9,Maio!$D:$D)-G41)/G41))</f>
        <v/>
      </c>
      <c r="H46" s="44" t="str">
        <f>IF('Cadastro de Produtos'!F9="","",IF(SUMIF(Junho!$F:$F,'Cadastro de Produtos'!F9,Junho!$D:$D)=0,"",(SUMIF(Junho!$F:$F,'Cadastro de Produtos'!F9,Junho!$I:$I)/SUMIF(Junho!$F:$F,'Cadastro de Produtos'!F9,Junho!$D:$D)-H41)/H41))</f>
        <v/>
      </c>
      <c r="I46" s="44" t="str">
        <f>IF('Cadastro de Produtos'!F9="","",IF(SUMIF(Julho!$F:$F,'Cadastro de Produtos'!F9,Julho!$D:$D)=0,"",(SUMIF(Julho!$F:$F,'Cadastro de Produtos'!F9,Julho!$I:$I)/SUMIF(Julho!$F:$F,'Cadastro de Produtos'!F9,Julho!$D:$D)-I41)/I41))</f>
        <v/>
      </c>
      <c r="J46" s="44" t="str">
        <f>IF('Cadastro de Produtos'!F9="","",IF(SUMIF(Agosto!$F:$F,'Cadastro de Produtos'!F9,Agosto!$D:$D)=0,"",(SUMIF(Agosto!$F:$F,'Cadastro de Produtos'!F9,Agosto!$I:$I)/SUMIF(Agosto!$F:$F,'Cadastro de Produtos'!F9,Agosto!$D:$D)-J41)/J41))</f>
        <v/>
      </c>
      <c r="K46" s="44" t="str">
        <f>IF('Cadastro de Produtos'!F9="","",IF(SUMIF(Setembro!$F:$F,'Cadastro de Produtos'!F9,Setembro!$D:$D)=0,"",(SUMIF(Setembro!$F:$F,'Cadastro de Produtos'!F9,Setembro!$I:$I)/SUMIF(Setembro!$F:$F,'Cadastro de Produtos'!F9,Setembro!$D:$D)-K41)/K41))</f>
        <v/>
      </c>
      <c r="L46" s="44" t="str">
        <f>IF('Cadastro de Produtos'!F9="","",IF(SUMIF(Outubro!$F:$F,'Cadastro de Produtos'!F9,Outubro!$D:$D)=0,"",(SUMIF(Outubro!$F:$F,'Cadastro de Produtos'!F9,Outubro!$I:$I)/SUMIF(Outubro!$F:$F,'Cadastro de Produtos'!F9,Outubro!$D:$D)-L41)/L41))</f>
        <v/>
      </c>
      <c r="M46" s="44" t="str">
        <f>IF('Cadastro de Produtos'!F9="","",IF(SUMIF(Novembro!$F:$F,'Cadastro de Produtos'!F9,Novembro!$D:$D)=0,"",(SUMIF(Novembro!$F:$F,'Cadastro de Produtos'!F9,Novembro!$I:$I)/SUMIF(Novembro!$F:$F,'Cadastro de Produtos'!F9,Novembro!$D:$D)-M41)/M41))</f>
        <v/>
      </c>
      <c r="N46" s="44" t="str">
        <f>IF('Cadastro de Produtos'!F9="","",IF(SUMIF(Dezembro!$F:$F,'Cadastro de Produtos'!F9,Dezembro!$D:$D)=0,"",(SUMIF(Dezembro!$F:$F,'Cadastro de Produtos'!F9,Dezembro!$I:$I)/SUMIF(Dezembro!$F:$F,'Cadastro de Produtos'!F9,Dezembro!$D:$D)-N41)/N41))</f>
        <v/>
      </c>
    </row>
    <row r="47" spans="2:14" x14ac:dyDescent="0.25">
      <c r="B47" s="35" t="str">
        <f>IF('Cadastro de Produtos'!F10="","",'Cadastro de Produtos'!F10)</f>
        <v/>
      </c>
      <c r="C47" s="43" t="str">
        <f>IF('Cadastro de Produtos'!F10="","",IF(SUMIF(Janeiro!$F:$F,'Cadastro de Produtos'!F10,Janeiro!$D:$D)=0,"",(SUMIF(Janeiro!$F:$F,'Cadastro de Produtos'!F10,Janeiro!$I:$I)/SUMIF(Janeiro!$F:$F,'Cadastro de Produtos'!F10,Janeiro!$D:$D)-C41)/C41))</f>
        <v/>
      </c>
      <c r="D47" s="43" t="str">
        <f>IF('Cadastro de Produtos'!F10="","",IF(SUMIF(Fevereiro!$F:$F,'Cadastro de Produtos'!F10,Fevereiro!$D:$D)=0,"",(SUMIF(Fevereiro!$F:$F,'Cadastro de Produtos'!F10,Fevereiro!$I:$I)/SUMIF(Fevereiro!$F:$F,'Cadastro de Produtos'!F10,Fevereiro!$D:$D)-D41)/D41))</f>
        <v/>
      </c>
      <c r="E47" s="43" t="str">
        <f>IF('Cadastro de Produtos'!F10="","",IF(SUMIF(Março!$F:$F,'Cadastro de Produtos'!F10,Março!$D:$D)=0,"",(SUMIF(Março!$F:$F,'Cadastro de Produtos'!F10,Março!$I:$I)/SUMIF(Março!$F:$F,'Cadastro de Produtos'!F10,Março!$D:$D)-E41)/E41))</f>
        <v/>
      </c>
      <c r="F47" s="43" t="str">
        <f>IF('Cadastro de Produtos'!F10="","",IF(SUMIF(Abril!$F:$F,'Cadastro de Produtos'!F10,Abril!$D:$D)=0,"",(SUMIF(Abril!$F:$F,'Cadastro de Produtos'!F10,Abril!$I:$I)/SUMIF(Abril!$F:$F,'Cadastro de Produtos'!F10,Abril!$D:$D)-F41)/F41))</f>
        <v/>
      </c>
      <c r="G47" s="43" t="str">
        <f>IF('Cadastro de Produtos'!F10="","",IF(SUMIF(Maio!$F:$F,'Cadastro de Produtos'!F10,Maio!$D:$D)=0,"",(SUMIF(Maio!$F:$F,'Cadastro de Produtos'!F10,Maio!$I:$I)/SUMIF(Maio!$F:$F,'Cadastro de Produtos'!F10,Maio!$D:$D)-G41)/G41))</f>
        <v/>
      </c>
      <c r="H47" s="43" t="str">
        <f>IF('Cadastro de Produtos'!F10="","",IF(SUMIF(Junho!$F:$F,'Cadastro de Produtos'!F10,Junho!$D:$D)=0,"",(SUMIF(Junho!$F:$F,'Cadastro de Produtos'!F10,Junho!$I:$I)/SUMIF(Junho!$F:$F,'Cadastro de Produtos'!F10,Junho!$D:$D)-H41)/H41))</f>
        <v/>
      </c>
      <c r="I47" s="43" t="str">
        <f>IF('Cadastro de Produtos'!F10="","",IF(SUMIF(Julho!$F:$F,'Cadastro de Produtos'!F10,Julho!$D:$D)=0,"",(SUMIF(Julho!$F:$F,'Cadastro de Produtos'!F10,Julho!$I:$I)/SUMIF(Julho!$F:$F,'Cadastro de Produtos'!F10,Julho!$D:$D)-I41)/I41))</f>
        <v/>
      </c>
      <c r="J47" s="43" t="str">
        <f>IF('Cadastro de Produtos'!F10="","",IF(SUMIF(Agosto!$F:$F,'Cadastro de Produtos'!F10,Agosto!$D:$D)=0,"",(SUMIF(Agosto!$F:$F,'Cadastro de Produtos'!F10,Agosto!$I:$I)/SUMIF(Agosto!$F:$F,'Cadastro de Produtos'!F10,Agosto!$D:$D)-J41)/J41))</f>
        <v/>
      </c>
      <c r="K47" s="43" t="str">
        <f>IF('Cadastro de Produtos'!F10="","",IF(SUMIF(Setembro!$F:$F,'Cadastro de Produtos'!F10,Setembro!$D:$D)=0,"",(SUMIF(Setembro!$F:$F,'Cadastro de Produtos'!F10,Setembro!$I:$I)/SUMIF(Setembro!$F:$F,'Cadastro de Produtos'!F10,Setembro!$D:$D)-K41)/K41))</f>
        <v/>
      </c>
      <c r="L47" s="43" t="str">
        <f>IF('Cadastro de Produtos'!F10="","",IF(SUMIF(Outubro!$F:$F,'Cadastro de Produtos'!F10,Outubro!$D:$D)=0,"",(SUMIF(Outubro!$F:$F,'Cadastro de Produtos'!F10,Outubro!$I:$I)/SUMIF(Outubro!$F:$F,'Cadastro de Produtos'!F10,Outubro!$D:$D)-L41)/L41))</f>
        <v/>
      </c>
      <c r="M47" s="43" t="str">
        <f>IF('Cadastro de Produtos'!F10="","",IF(SUMIF(Novembro!$F:$F,'Cadastro de Produtos'!F10,Novembro!$D:$D)=0,"",(SUMIF(Novembro!$F:$F,'Cadastro de Produtos'!F10,Novembro!$I:$I)/SUMIF(Novembro!$F:$F,'Cadastro de Produtos'!F10,Novembro!$D:$D)-M41)/M41))</f>
        <v/>
      </c>
      <c r="N47" s="43" t="str">
        <f>IF('Cadastro de Produtos'!F10="","",IF(SUMIF(Dezembro!$F:$F,'Cadastro de Produtos'!F10,Dezembro!$D:$D)=0,"",(SUMIF(Dezembro!$F:$F,'Cadastro de Produtos'!F10,Dezembro!$I:$I)/SUMIF(Dezembro!$F:$F,'Cadastro de Produtos'!F10,Dezembro!$D:$D)-N41)/N41))</f>
        <v/>
      </c>
    </row>
    <row r="48" spans="2:14" x14ac:dyDescent="0.25">
      <c r="B48" s="38" t="str">
        <f>IF('Cadastro de Produtos'!F11="","",'Cadastro de Produtos'!F11)</f>
        <v/>
      </c>
      <c r="C48" s="44" t="str">
        <f>IF('Cadastro de Produtos'!F11="","",IF(SUMIF(Janeiro!$F:$F,'Cadastro de Produtos'!F11,Janeiro!$D:$D)=0,"",(SUMIF(Janeiro!$F:$F,'Cadastro de Produtos'!F11,Janeiro!$I:$I)/SUMIF(Janeiro!$F:$F,'Cadastro de Produtos'!F11,Janeiro!$D:$D)-C41)/C41))</f>
        <v/>
      </c>
      <c r="D48" s="44" t="str">
        <f>IF('Cadastro de Produtos'!F11="","",IF(SUMIF(Fevereiro!$F:$F,'Cadastro de Produtos'!F11,Fevereiro!$D:$D)=0,"",(SUMIF(Fevereiro!$F:$F,'Cadastro de Produtos'!F11,Fevereiro!$I:$I)/SUMIF(Fevereiro!$F:$F,'Cadastro de Produtos'!F11,Fevereiro!$D:$D)-D41)/D41))</f>
        <v/>
      </c>
      <c r="E48" s="44" t="str">
        <f>IF('Cadastro de Produtos'!F11="","",IF(SUMIF(Março!$F:$F,'Cadastro de Produtos'!F11,Março!$D:$D)=0,"",(SUMIF(Março!$F:$F,'Cadastro de Produtos'!F11,Março!$I:$I)/SUMIF(Março!$F:$F,'Cadastro de Produtos'!F11,Março!$D:$D)-E41)/E41))</f>
        <v/>
      </c>
      <c r="F48" s="44" t="str">
        <f>IF('Cadastro de Produtos'!F11="","",IF(SUMIF(Abril!$F:$F,'Cadastro de Produtos'!F11,Abril!$D:$D)=0,"",(SUMIF(Abril!$F:$F,'Cadastro de Produtos'!F11,Abril!$I:$I)/SUMIF(Abril!$F:$F,'Cadastro de Produtos'!F11,Abril!$D:$D)-F41)/F41))</f>
        <v/>
      </c>
      <c r="G48" s="44" t="str">
        <f>IF('Cadastro de Produtos'!F11="","",IF(SUMIF(Maio!$F:$F,'Cadastro de Produtos'!F11,Maio!$D:$D)=0,"",(SUMIF(Maio!$F:$F,'Cadastro de Produtos'!F11,Maio!$I:$I)/SUMIF(Maio!$F:$F,'Cadastro de Produtos'!F11,Maio!$D:$D)-G41)/G41))</f>
        <v/>
      </c>
      <c r="H48" s="44" t="str">
        <f>IF('Cadastro de Produtos'!F11="","",IF(SUMIF(Junho!$F:$F,'Cadastro de Produtos'!F11,Junho!$D:$D)=0,"",(SUMIF(Junho!$F:$F,'Cadastro de Produtos'!F11,Junho!$I:$I)/SUMIF(Junho!$F:$F,'Cadastro de Produtos'!F11,Junho!$D:$D)-H41)/H41))</f>
        <v/>
      </c>
      <c r="I48" s="44" t="str">
        <f>IF('Cadastro de Produtos'!F11="","",IF(SUMIF(Julho!$F:$F,'Cadastro de Produtos'!F11,Julho!$D:$D)=0,"",(SUMIF(Julho!$F:$F,'Cadastro de Produtos'!F11,Julho!$I:$I)/SUMIF(Julho!$F:$F,'Cadastro de Produtos'!F11,Julho!$D:$D)-I41)/I41))</f>
        <v/>
      </c>
      <c r="J48" s="44" t="str">
        <f>IF('Cadastro de Produtos'!F11="","",IF(SUMIF(Agosto!$F:$F,'Cadastro de Produtos'!F11,Agosto!$D:$D)=0,"",(SUMIF(Agosto!$F:$F,'Cadastro de Produtos'!F11,Agosto!$I:$I)/SUMIF(Agosto!$F:$F,'Cadastro de Produtos'!F11,Agosto!$D:$D)-J41)/J41))</f>
        <v/>
      </c>
      <c r="K48" s="44" t="str">
        <f>IF('Cadastro de Produtos'!F11="","",IF(SUMIF(Setembro!$F:$F,'Cadastro de Produtos'!F11,Setembro!$D:$D)=0,"",(SUMIF(Setembro!$F:$F,'Cadastro de Produtos'!F11,Setembro!$I:$I)/SUMIF(Setembro!$F:$F,'Cadastro de Produtos'!F11,Setembro!$D:$D)-K41)/K41))</f>
        <v/>
      </c>
      <c r="L48" s="44" t="str">
        <f>IF('Cadastro de Produtos'!F11="","",IF(SUMIF(Outubro!$F:$F,'Cadastro de Produtos'!F11,Outubro!$D:$D)=0,"",(SUMIF(Outubro!$F:$F,'Cadastro de Produtos'!F11,Outubro!$I:$I)/SUMIF(Outubro!$F:$F,'Cadastro de Produtos'!F11,Outubro!$D:$D)-L41)/L41))</f>
        <v/>
      </c>
      <c r="M48" s="44" t="str">
        <f>IF('Cadastro de Produtos'!F11="","",IF(SUMIF(Novembro!$F:$F,'Cadastro de Produtos'!F11,Novembro!$D:$D)=0,"",(SUMIF(Novembro!$F:$F,'Cadastro de Produtos'!F11,Novembro!$I:$I)/SUMIF(Novembro!$F:$F,'Cadastro de Produtos'!F11,Novembro!$D:$D)-M41)/M41))</f>
        <v/>
      </c>
      <c r="N48" s="44" t="str">
        <f>IF('Cadastro de Produtos'!F11="","",IF(SUMIF(Dezembro!$F:$F,'Cadastro de Produtos'!F11,Dezembro!$D:$D)=0,"",(SUMIF(Dezembro!$F:$F,'Cadastro de Produtos'!F11,Dezembro!$I:$I)/SUMIF(Dezembro!$F:$F,'Cadastro de Produtos'!F11,Dezembro!$D:$D)-N41)/N41))</f>
        <v/>
      </c>
    </row>
    <row r="49" spans="2:14" x14ac:dyDescent="0.25">
      <c r="B49" s="35" t="str">
        <f>IF('Cadastro de Produtos'!F12="","",'Cadastro de Produtos'!F12)</f>
        <v/>
      </c>
      <c r="C49" s="43" t="str">
        <f>IF('Cadastro de Produtos'!F12="","",IF(SUMIF(Janeiro!$F:$F,'Cadastro de Produtos'!F12,Janeiro!$D:$D)=0,"",(SUMIF(Janeiro!$F:$F,'Cadastro de Produtos'!F12,Janeiro!$I:$I)/SUMIF(Janeiro!$F:$F,'Cadastro de Produtos'!F12,Janeiro!$D:$D)-C41)/C41))</f>
        <v/>
      </c>
      <c r="D49" s="43" t="str">
        <f>IF('Cadastro de Produtos'!F12="","",IF(SUMIF(Fevereiro!$F:$F,'Cadastro de Produtos'!F12,Fevereiro!$D:$D)=0,"",(SUMIF(Fevereiro!$F:$F,'Cadastro de Produtos'!F12,Fevereiro!$I:$I)/SUMIF(Fevereiro!$F:$F,'Cadastro de Produtos'!F12,Fevereiro!$D:$D)-D41)/D41))</f>
        <v/>
      </c>
      <c r="E49" s="43" t="str">
        <f>IF('Cadastro de Produtos'!F12="","",IF(SUMIF(Março!$F:$F,'Cadastro de Produtos'!F12,Março!$D:$D)=0,"",(SUMIF(Março!$F:$F,'Cadastro de Produtos'!F12,Março!$I:$I)/SUMIF(Março!$F:$F,'Cadastro de Produtos'!F12,Março!$D:$D)-E41)/E41))</f>
        <v/>
      </c>
      <c r="F49" s="43" t="str">
        <f>IF('Cadastro de Produtos'!F12="","",IF(SUMIF(Abril!$F:$F,'Cadastro de Produtos'!F12,Abril!$D:$D)=0,"",(SUMIF(Abril!$F:$F,'Cadastro de Produtos'!F12,Abril!$I:$I)/SUMIF(Abril!$F:$F,'Cadastro de Produtos'!F12,Abril!$D:$D)-F41)/F41))</f>
        <v/>
      </c>
      <c r="G49" s="43" t="str">
        <f>IF('Cadastro de Produtos'!F12="","",IF(SUMIF(Maio!$F:$F,'Cadastro de Produtos'!F12,Maio!$D:$D)=0,"",(SUMIF(Maio!$F:$F,'Cadastro de Produtos'!F12,Maio!$I:$I)/SUMIF(Maio!$F:$F,'Cadastro de Produtos'!F12,Maio!$D:$D)-G41)/G41))</f>
        <v/>
      </c>
      <c r="H49" s="43" t="str">
        <f>IF('Cadastro de Produtos'!F12="","",IF(SUMIF(Junho!$F:$F,'Cadastro de Produtos'!F12,Junho!$D:$D)=0,"",(SUMIF(Junho!$F:$F,'Cadastro de Produtos'!F12,Junho!$I:$I)/SUMIF(Junho!$F:$F,'Cadastro de Produtos'!F12,Junho!$D:$D)-H41)/H41))</f>
        <v/>
      </c>
      <c r="I49" s="43" t="str">
        <f>IF('Cadastro de Produtos'!F12="","",IF(SUMIF(Julho!$F:$F,'Cadastro de Produtos'!F12,Julho!$D:$D)=0,"",(SUMIF(Julho!$F:$F,'Cadastro de Produtos'!F12,Julho!$I:$I)/SUMIF(Julho!$F:$F,'Cadastro de Produtos'!F12,Julho!$D:$D)-I41)/I41))</f>
        <v/>
      </c>
      <c r="J49" s="43" t="str">
        <f>IF('Cadastro de Produtos'!F12="","",IF(SUMIF(Agosto!$F:$F,'Cadastro de Produtos'!F12,Agosto!$D:$D)=0,"",(SUMIF(Agosto!$F:$F,'Cadastro de Produtos'!F12,Agosto!$I:$I)/SUMIF(Agosto!$F:$F,'Cadastro de Produtos'!F12,Agosto!$D:$D)-J41)/J41))</f>
        <v/>
      </c>
      <c r="K49" s="43" t="str">
        <f>IF('Cadastro de Produtos'!F12="","",IF(SUMIF(Setembro!$F:$F,'Cadastro de Produtos'!F12,Setembro!$D:$D)=0,"",(SUMIF(Setembro!$F:$F,'Cadastro de Produtos'!F12,Setembro!$I:$I)/SUMIF(Setembro!$F:$F,'Cadastro de Produtos'!F12,Setembro!$D:$D)-K41)/K41))</f>
        <v/>
      </c>
      <c r="L49" s="43" t="str">
        <f>IF('Cadastro de Produtos'!F12="","",IF(SUMIF(Outubro!$F:$F,'Cadastro de Produtos'!F12,Outubro!$D:$D)=0,"",(SUMIF(Outubro!$F:$F,'Cadastro de Produtos'!F12,Outubro!$I:$I)/SUMIF(Outubro!$F:$F,'Cadastro de Produtos'!F12,Outubro!$D:$D)-L41)/L41))</f>
        <v/>
      </c>
      <c r="M49" s="43" t="str">
        <f>IF('Cadastro de Produtos'!F12="","",IF(SUMIF(Novembro!$F:$F,'Cadastro de Produtos'!F12,Novembro!$D:$D)=0,"",(SUMIF(Novembro!$F:$F,'Cadastro de Produtos'!F12,Novembro!$I:$I)/SUMIF(Novembro!$F:$F,'Cadastro de Produtos'!F12,Novembro!$D:$D)-M41)/M41))</f>
        <v/>
      </c>
      <c r="N49" s="43" t="str">
        <f>IF('Cadastro de Produtos'!F12="","",IF(SUMIF(Dezembro!$F:$F,'Cadastro de Produtos'!F12,Dezembro!$D:$D)=0,"",(SUMIF(Dezembro!$F:$F,'Cadastro de Produtos'!F12,Dezembro!$I:$I)/SUMIF(Dezembro!$F:$F,'Cadastro de Produtos'!F12,Dezembro!$D:$D)-N41)/N41))</f>
        <v/>
      </c>
    </row>
    <row r="50" spans="2:14" x14ac:dyDescent="0.25">
      <c r="B50" s="38" t="str">
        <f>IF('Cadastro de Produtos'!F13="","",'Cadastro de Produtos'!F13)</f>
        <v/>
      </c>
      <c r="C50" s="44" t="str">
        <f>IF('Cadastro de Produtos'!F13="","",IF(SUMIF(Janeiro!$F:$F,'Cadastro de Produtos'!F13,Janeiro!$D:$D)=0,"",(SUMIF(Janeiro!$F:$F,'Cadastro de Produtos'!F13,Janeiro!$I:$I)/SUMIF(Janeiro!$F:$F,'Cadastro de Produtos'!F13,Janeiro!$D:$D)-C41)/C41))</f>
        <v/>
      </c>
      <c r="D50" s="44" t="str">
        <f>IF('Cadastro de Produtos'!F13="","",IF(SUMIF(Fevereiro!$F:$F,'Cadastro de Produtos'!F13,Fevereiro!$D:$D)=0,"",(SUMIF(Fevereiro!$F:$F,'Cadastro de Produtos'!F13,Fevereiro!$I:$I)/SUMIF(Fevereiro!$F:$F,'Cadastro de Produtos'!F13,Fevereiro!$D:$D)-D41)/D41))</f>
        <v/>
      </c>
      <c r="E50" s="44" t="str">
        <f>IF('Cadastro de Produtos'!F13="","",IF(SUMIF(Março!$F:$F,'Cadastro de Produtos'!F13,Março!$D:$D)=0,"",(SUMIF(Março!$F:$F,'Cadastro de Produtos'!F13,Março!$I:$I)/SUMIF(Março!$F:$F,'Cadastro de Produtos'!F13,Março!$D:$D)-E41)/E41))</f>
        <v/>
      </c>
      <c r="F50" s="44" t="str">
        <f>IF('Cadastro de Produtos'!F13="","",IF(SUMIF(Abril!$F:$F,'Cadastro de Produtos'!F13,Abril!$D:$D)=0,"",(SUMIF(Abril!$F:$F,'Cadastro de Produtos'!F13,Abril!$I:$I)/SUMIF(Abril!$F:$F,'Cadastro de Produtos'!F13,Abril!$D:$D)-F41)/F41))</f>
        <v/>
      </c>
      <c r="G50" s="44" t="str">
        <f>IF('Cadastro de Produtos'!F13="","",IF(SUMIF(Maio!$F:$F,'Cadastro de Produtos'!F13,Maio!$D:$D)=0,"",(SUMIF(Maio!$F:$F,'Cadastro de Produtos'!F13,Maio!$I:$I)/SUMIF(Maio!$F:$F,'Cadastro de Produtos'!F13,Maio!$D:$D)-G41)/G41))</f>
        <v/>
      </c>
      <c r="H50" s="44" t="str">
        <f>IF('Cadastro de Produtos'!F13="","",IF(SUMIF(Junho!$F:$F,'Cadastro de Produtos'!F13,Junho!$D:$D)=0,"",(SUMIF(Junho!$F:$F,'Cadastro de Produtos'!F13,Junho!$I:$I)/SUMIF(Junho!$F:$F,'Cadastro de Produtos'!F13,Junho!$D:$D)-H41)/H41))</f>
        <v/>
      </c>
      <c r="I50" s="44" t="str">
        <f>IF('Cadastro de Produtos'!F13="","",IF(SUMIF(Julho!$F:$F,'Cadastro de Produtos'!F13,Julho!$D:$D)=0,"",(SUMIF(Julho!$F:$F,'Cadastro de Produtos'!F13,Julho!$I:$I)/SUMIF(Julho!$F:$F,'Cadastro de Produtos'!F13,Julho!$D:$D)-I41)/I41))</f>
        <v/>
      </c>
      <c r="J50" s="44" t="str">
        <f>IF('Cadastro de Produtos'!F13="","",IF(SUMIF(Agosto!$F:$F,'Cadastro de Produtos'!F13,Agosto!$D:$D)=0,"",(SUMIF(Agosto!$F:$F,'Cadastro de Produtos'!F13,Agosto!$I:$I)/SUMIF(Agosto!$F:$F,'Cadastro de Produtos'!F13,Agosto!$D:$D)-J41)/J41))</f>
        <v/>
      </c>
      <c r="K50" s="44" t="str">
        <f>IF('Cadastro de Produtos'!F13="","",IF(SUMIF(Setembro!$F:$F,'Cadastro de Produtos'!F13,Setembro!$D:$D)=0,"",(SUMIF(Setembro!$F:$F,'Cadastro de Produtos'!F13,Setembro!$I:$I)/SUMIF(Setembro!$F:$F,'Cadastro de Produtos'!F13,Setembro!$D:$D)-K41)/K41))</f>
        <v/>
      </c>
      <c r="L50" s="44" t="str">
        <f>IF('Cadastro de Produtos'!F13="","",IF(SUMIF(Outubro!$F:$F,'Cadastro de Produtos'!F13,Outubro!$D:$D)=0,"",(SUMIF(Outubro!$F:$F,'Cadastro de Produtos'!F13,Outubro!$I:$I)/SUMIF(Outubro!$F:$F,'Cadastro de Produtos'!F13,Outubro!$D:$D)-L41)/L41))</f>
        <v/>
      </c>
      <c r="M50" s="44" t="str">
        <f>IF('Cadastro de Produtos'!F13="","",IF(SUMIF(Novembro!$F:$F,'Cadastro de Produtos'!F13,Novembro!$D:$D)=0,"",(SUMIF(Novembro!$F:$F,'Cadastro de Produtos'!F13,Novembro!$I:$I)/SUMIF(Novembro!$F:$F,'Cadastro de Produtos'!F13,Novembro!$D:$D)-M41)/M41))</f>
        <v/>
      </c>
      <c r="N50" s="44" t="str">
        <f>IF('Cadastro de Produtos'!F13="","",IF(SUMIF(Dezembro!$F:$F,'Cadastro de Produtos'!F13,Dezembro!$D:$D)=0,"",(SUMIF(Dezembro!$F:$F,'Cadastro de Produtos'!F13,Dezembro!$I:$I)/SUMIF(Dezembro!$F:$F,'Cadastro de Produtos'!F13,Dezembro!$D:$D)-N41)/N41))</f>
        <v/>
      </c>
    </row>
    <row r="51" spans="2:14" x14ac:dyDescent="0.25">
      <c r="B51" s="35" t="str">
        <f>IF('Cadastro de Produtos'!F14="","",'Cadastro de Produtos'!F14)</f>
        <v/>
      </c>
      <c r="C51" s="43" t="str">
        <f>IF('Cadastro de Produtos'!F14="","",IF(SUMIF(Janeiro!$F:$F,'Cadastro de Produtos'!F14,Janeiro!$D:$D)=0,"",(SUMIF(Janeiro!$F:$F,'Cadastro de Produtos'!F14,Janeiro!$I:$I)/SUMIF(Janeiro!$F:$F,'Cadastro de Produtos'!F14,Janeiro!$D:$D)-C41)/C41))</f>
        <v/>
      </c>
      <c r="D51" s="43" t="str">
        <f>IF('Cadastro de Produtos'!F14="","",IF(SUMIF(Fevereiro!$F:$F,'Cadastro de Produtos'!F14,Fevereiro!$D:$D)=0,"",(SUMIF(Fevereiro!$F:$F,'Cadastro de Produtos'!F14,Fevereiro!$I:$I)/SUMIF(Fevereiro!$F:$F,'Cadastro de Produtos'!F14,Fevereiro!$D:$D)-D41)/D41))</f>
        <v/>
      </c>
      <c r="E51" s="43" t="str">
        <f>IF('Cadastro de Produtos'!F14="","",IF(SUMIF(Março!$F:$F,'Cadastro de Produtos'!F14,Março!$D:$D)=0,"",(SUMIF(Março!$F:$F,'Cadastro de Produtos'!F14,Março!$I:$I)/SUMIF(Março!$F:$F,'Cadastro de Produtos'!F14,Março!$D:$D)-E41)/E41))</f>
        <v/>
      </c>
      <c r="F51" s="43" t="str">
        <f>IF('Cadastro de Produtos'!F14="","",IF(SUMIF(Abril!$F:$F,'Cadastro de Produtos'!F14,Abril!$D:$D)=0,"",(SUMIF(Abril!$F:$F,'Cadastro de Produtos'!F14,Abril!$I:$I)/SUMIF(Abril!$F:$F,'Cadastro de Produtos'!F14,Abril!$D:$D)-F41)/F41))</f>
        <v/>
      </c>
      <c r="G51" s="43" t="str">
        <f>IF('Cadastro de Produtos'!F14="","",IF(SUMIF(Maio!$F:$F,'Cadastro de Produtos'!F14,Maio!$D:$D)=0,"",(SUMIF(Maio!$F:$F,'Cadastro de Produtos'!F14,Maio!$I:$I)/SUMIF(Maio!$F:$F,'Cadastro de Produtos'!F14,Maio!$D:$D)-G41)/G41))</f>
        <v/>
      </c>
      <c r="H51" s="43" t="str">
        <f>IF('Cadastro de Produtos'!F14="","",IF(SUMIF(Junho!$F:$F,'Cadastro de Produtos'!F14,Junho!$D:$D)=0,"",(SUMIF(Junho!$F:$F,'Cadastro de Produtos'!F14,Junho!$I:$I)/SUMIF(Junho!$F:$F,'Cadastro de Produtos'!F14,Junho!$D:$D)-H41)/H41))</f>
        <v/>
      </c>
      <c r="I51" s="43" t="str">
        <f>IF('Cadastro de Produtos'!F14="","",IF(SUMIF(Julho!$F:$F,'Cadastro de Produtos'!F14,Julho!$D:$D)=0,"",(SUMIF(Julho!$F:$F,'Cadastro de Produtos'!F14,Julho!$I:$I)/SUMIF(Julho!$F:$F,'Cadastro de Produtos'!F14,Julho!$D:$D)-I41)/I41))</f>
        <v/>
      </c>
      <c r="J51" s="43" t="str">
        <f>IF('Cadastro de Produtos'!F14="","",IF(SUMIF(Agosto!$F:$F,'Cadastro de Produtos'!F14,Agosto!$D:$D)=0,"",(SUMIF(Agosto!$F:$F,'Cadastro de Produtos'!F14,Agosto!$I:$I)/SUMIF(Agosto!$F:$F,'Cadastro de Produtos'!F14,Agosto!$D:$D)-J41)/J41))</f>
        <v/>
      </c>
      <c r="K51" s="43" t="str">
        <f>IF('Cadastro de Produtos'!F14="","",IF(SUMIF(Setembro!$F:$F,'Cadastro de Produtos'!F14,Setembro!$D:$D)=0,"",(SUMIF(Setembro!$F:$F,'Cadastro de Produtos'!F14,Setembro!$I:$I)/SUMIF(Setembro!$F:$F,'Cadastro de Produtos'!F14,Setembro!$D:$D)-K41)/K41))</f>
        <v/>
      </c>
      <c r="L51" s="43" t="str">
        <f>IF('Cadastro de Produtos'!F14="","",IF(SUMIF(Outubro!$F:$F,'Cadastro de Produtos'!F14,Outubro!$D:$D)=0,"",(SUMIF(Outubro!$F:$F,'Cadastro de Produtos'!F14,Outubro!$I:$I)/SUMIF(Outubro!$F:$F,'Cadastro de Produtos'!F14,Outubro!$D:$D)-L41)/L41))</f>
        <v/>
      </c>
      <c r="M51" s="43" t="str">
        <f>IF('Cadastro de Produtos'!F14="","",IF(SUMIF(Novembro!$F:$F,'Cadastro de Produtos'!F14,Novembro!$D:$D)=0,"",(SUMIF(Novembro!$F:$F,'Cadastro de Produtos'!F14,Novembro!$I:$I)/SUMIF(Novembro!$F:$F,'Cadastro de Produtos'!F14,Novembro!$D:$D)-M41)/M41))</f>
        <v/>
      </c>
      <c r="N51" s="43" t="str">
        <f>IF('Cadastro de Produtos'!F14="","",IF(SUMIF(Dezembro!$F:$F,'Cadastro de Produtos'!F14,Dezembro!$D:$D)=0,"",(SUMIF(Dezembro!$F:$F,'Cadastro de Produtos'!F14,Dezembro!$I:$I)/SUMIF(Dezembro!$F:$F,'Cadastro de Produtos'!F14,Dezembro!$D:$D)-N41)/N41))</f>
        <v/>
      </c>
    </row>
    <row r="52" spans="2:14" x14ac:dyDescent="0.25">
      <c r="B52" s="38" t="str">
        <f>IF('Cadastro de Produtos'!F15="","",'Cadastro de Produtos'!F15)</f>
        <v/>
      </c>
      <c r="C52" s="44" t="str">
        <f>IF('Cadastro de Produtos'!F15="","",IF(SUMIF(Janeiro!$F:$F,'Cadastro de Produtos'!F15,Janeiro!$D:$D)=0,"",(SUMIF(Janeiro!$F:$F,'Cadastro de Produtos'!F15,Janeiro!$I:$I)/SUMIF(Janeiro!$F:$F,'Cadastro de Produtos'!F15,Janeiro!$D:$D)-C41)/C41))</f>
        <v/>
      </c>
      <c r="D52" s="44" t="str">
        <f>IF('Cadastro de Produtos'!F15="","",IF(SUMIF(Fevereiro!$F:$F,'Cadastro de Produtos'!F15,Fevereiro!$D:$D)=0,"",(SUMIF(Fevereiro!$F:$F,'Cadastro de Produtos'!F15,Fevereiro!$I:$I)/SUMIF(Fevereiro!$F:$F,'Cadastro de Produtos'!F15,Fevereiro!$D:$D)-D41)/D41))</f>
        <v/>
      </c>
      <c r="E52" s="44" t="str">
        <f>IF('Cadastro de Produtos'!F15="","",IF(SUMIF(Março!$F:$F,'Cadastro de Produtos'!F15,Março!$D:$D)=0,"",(SUMIF(Março!$F:$F,'Cadastro de Produtos'!F15,Março!$I:$I)/SUMIF(Março!$F:$F,'Cadastro de Produtos'!F15,Março!$D:$D)-E41)/E41))</f>
        <v/>
      </c>
      <c r="F52" s="44" t="str">
        <f>IF('Cadastro de Produtos'!F15="","",IF(SUMIF(Abril!$F:$F,'Cadastro de Produtos'!F15,Abril!$D:$D)=0,"",(SUMIF(Abril!$F:$F,'Cadastro de Produtos'!F15,Abril!$I:$I)/SUMIF(Abril!$F:$F,'Cadastro de Produtos'!F15,Abril!$D:$D)-F41)/F41))</f>
        <v/>
      </c>
      <c r="G52" s="44" t="str">
        <f>IF('Cadastro de Produtos'!F15="","",IF(SUMIF(Maio!$F:$F,'Cadastro de Produtos'!F15,Maio!$D:$D)=0,"",(SUMIF(Maio!$F:$F,'Cadastro de Produtos'!F15,Maio!$I:$I)/SUMIF(Maio!$F:$F,'Cadastro de Produtos'!F15,Maio!$D:$D)-G41)/G41))</f>
        <v/>
      </c>
      <c r="H52" s="44" t="str">
        <f>IF('Cadastro de Produtos'!F15="","",IF(SUMIF(Junho!$F:$F,'Cadastro de Produtos'!F15,Junho!$D:$D)=0,"",(SUMIF(Junho!$F:$F,'Cadastro de Produtos'!F15,Junho!$I:$I)/SUMIF(Junho!$F:$F,'Cadastro de Produtos'!F15,Junho!$D:$D)-H41)/H41))</f>
        <v/>
      </c>
      <c r="I52" s="44" t="str">
        <f>IF('Cadastro de Produtos'!F15="","",IF(SUMIF(Julho!$F:$F,'Cadastro de Produtos'!F15,Julho!$D:$D)=0,"",(SUMIF(Julho!$F:$F,'Cadastro de Produtos'!F15,Julho!$I:$I)/SUMIF(Julho!$F:$F,'Cadastro de Produtos'!F15,Julho!$D:$D)-I41)/I41))</f>
        <v/>
      </c>
      <c r="J52" s="44" t="str">
        <f>IF('Cadastro de Produtos'!F15="","",IF(SUMIF(Agosto!$F:$F,'Cadastro de Produtos'!F15,Agosto!$D:$D)=0,"",(SUMIF(Agosto!$F:$F,'Cadastro de Produtos'!F15,Agosto!$I:$I)/SUMIF(Agosto!$F:$F,'Cadastro de Produtos'!F15,Agosto!$D:$D)-J41)/J41))</f>
        <v/>
      </c>
      <c r="K52" s="44" t="str">
        <f>IF('Cadastro de Produtos'!F15="","",IF(SUMIF(Setembro!$F:$F,'Cadastro de Produtos'!F15,Setembro!$D:$D)=0,"",(SUMIF(Setembro!$F:$F,'Cadastro de Produtos'!F15,Setembro!$I:$I)/SUMIF(Setembro!$F:$F,'Cadastro de Produtos'!F15,Setembro!$D:$D)-K41)/K41))</f>
        <v/>
      </c>
      <c r="L52" s="44" t="str">
        <f>IF('Cadastro de Produtos'!F15="","",IF(SUMIF(Outubro!$F:$F,'Cadastro de Produtos'!F15,Outubro!$D:$D)=0,"",(SUMIF(Outubro!$F:$F,'Cadastro de Produtos'!F15,Outubro!$I:$I)/SUMIF(Outubro!$F:$F,'Cadastro de Produtos'!F15,Outubro!$D:$D)-L41)/L41))</f>
        <v/>
      </c>
      <c r="M52" s="44" t="str">
        <f>IF('Cadastro de Produtos'!F15="","",IF(SUMIF(Novembro!$F:$F,'Cadastro de Produtos'!F15,Novembro!$D:$D)=0,"",(SUMIF(Novembro!$F:$F,'Cadastro de Produtos'!F15,Novembro!$I:$I)/SUMIF(Novembro!$F:$F,'Cadastro de Produtos'!F15,Novembro!$D:$D)-M41)/M41))</f>
        <v/>
      </c>
      <c r="N52" s="44" t="str">
        <f>IF('Cadastro de Produtos'!F15="","",IF(SUMIF(Dezembro!$F:$F,'Cadastro de Produtos'!F15,Dezembro!$D:$D)=0,"",(SUMIF(Dezembro!$F:$F,'Cadastro de Produtos'!F15,Dezembro!$I:$I)/SUMIF(Dezembro!$F:$F,'Cadastro de Produtos'!F15,Dezembro!$D:$D)-N41)/N41))</f>
        <v/>
      </c>
    </row>
    <row r="53" spans="2:14" x14ac:dyDescent="0.25">
      <c r="B53" s="35" t="str">
        <f>IF('Cadastro de Produtos'!F16="","",'Cadastro de Produtos'!F16)</f>
        <v/>
      </c>
      <c r="C53" s="43" t="str">
        <f>IF('Cadastro de Produtos'!F16="","",IF(SUMIF(Janeiro!$F:$F,'Cadastro de Produtos'!F16,Janeiro!$D:$D)=0,"",(SUMIF(Janeiro!$F:$F,'Cadastro de Produtos'!F16,Janeiro!$I:$I)/SUMIF(Janeiro!$F:$F,'Cadastro de Produtos'!F16,Janeiro!$D:$D)-C41)/C41))</f>
        <v/>
      </c>
      <c r="D53" s="43" t="str">
        <f>IF('Cadastro de Produtos'!F16="","",IF(SUMIF(Fevereiro!$F:$F,'Cadastro de Produtos'!F16,Fevereiro!$D:$D)=0,"",(SUMIF(Fevereiro!$F:$F,'Cadastro de Produtos'!F16,Fevereiro!$I:$I)/SUMIF(Fevereiro!$F:$F,'Cadastro de Produtos'!F16,Fevereiro!$D:$D)-D41)/D41))</f>
        <v/>
      </c>
      <c r="E53" s="43" t="str">
        <f>IF('Cadastro de Produtos'!F16="","",IF(SUMIF(Março!$F:$F,'Cadastro de Produtos'!F16,Março!$D:$D)=0,"",(SUMIF(Março!$F:$F,'Cadastro de Produtos'!F16,Março!$I:$I)/SUMIF(Março!$F:$F,'Cadastro de Produtos'!F16,Março!$D:$D)-E41)/E41))</f>
        <v/>
      </c>
      <c r="F53" s="43" t="str">
        <f>IF('Cadastro de Produtos'!F16="","",IF(SUMIF(Abril!$F:$F,'Cadastro de Produtos'!F16,Abril!$D:$D)=0,"",(SUMIF(Abril!$F:$F,'Cadastro de Produtos'!F16,Abril!$I:$I)/SUMIF(Abril!$F:$F,'Cadastro de Produtos'!F16,Abril!$D:$D)-F41)/F41))</f>
        <v/>
      </c>
      <c r="G53" s="43" t="str">
        <f>IF('Cadastro de Produtos'!F16="","",IF(SUMIF(Maio!$F:$F,'Cadastro de Produtos'!F16,Maio!$D:$D)=0,"",(SUMIF(Maio!$F:$F,'Cadastro de Produtos'!F16,Maio!$I:$I)/SUMIF(Maio!$F:$F,'Cadastro de Produtos'!F16,Maio!$D:$D)-G41)/G41))</f>
        <v/>
      </c>
      <c r="H53" s="43" t="str">
        <f>IF('Cadastro de Produtos'!F16="","",IF(SUMIF(Junho!$F:$F,'Cadastro de Produtos'!F16,Junho!$D:$D)=0,"",(SUMIF(Junho!$F:$F,'Cadastro de Produtos'!F16,Junho!$I:$I)/SUMIF(Junho!$F:$F,'Cadastro de Produtos'!F16,Junho!$D:$D)-H41)/H41))</f>
        <v/>
      </c>
      <c r="I53" s="43" t="str">
        <f>IF('Cadastro de Produtos'!F16="","",IF(SUMIF(Julho!$F:$F,'Cadastro de Produtos'!F16,Julho!$D:$D)=0,"",(SUMIF(Julho!$F:$F,'Cadastro de Produtos'!F16,Julho!$I:$I)/SUMIF(Julho!$F:$F,'Cadastro de Produtos'!F16,Julho!$D:$D)-I41)/I41))</f>
        <v/>
      </c>
      <c r="J53" s="43" t="str">
        <f>IF('Cadastro de Produtos'!F16="","",IF(SUMIF(Agosto!$F:$F,'Cadastro de Produtos'!F16,Agosto!$D:$D)=0,"",(SUMIF(Agosto!$F:$F,'Cadastro de Produtos'!F16,Agosto!$I:$I)/SUMIF(Agosto!$F:$F,'Cadastro de Produtos'!F16,Agosto!$D:$D)-J41)/J41))</f>
        <v/>
      </c>
      <c r="K53" s="43" t="str">
        <f>IF('Cadastro de Produtos'!F16="","",IF(SUMIF(Setembro!$F:$F,'Cadastro de Produtos'!F16,Setembro!$D:$D)=0,"",(SUMIF(Setembro!$F:$F,'Cadastro de Produtos'!F16,Setembro!$I:$I)/SUMIF(Setembro!$F:$F,'Cadastro de Produtos'!F16,Setembro!$D:$D)-K41)/K41))</f>
        <v/>
      </c>
      <c r="L53" s="43" t="str">
        <f>IF('Cadastro de Produtos'!F16="","",IF(SUMIF(Outubro!$F:$F,'Cadastro de Produtos'!F16,Outubro!$D:$D)=0,"",(SUMIF(Outubro!$F:$F,'Cadastro de Produtos'!F16,Outubro!$I:$I)/SUMIF(Outubro!$F:$F,'Cadastro de Produtos'!F16,Outubro!$D:$D)-L41)/L41))</f>
        <v/>
      </c>
      <c r="M53" s="43" t="str">
        <f>IF('Cadastro de Produtos'!F16="","",IF(SUMIF(Novembro!$F:$F,'Cadastro de Produtos'!F16,Novembro!$D:$D)=0,"",(SUMIF(Novembro!$F:$F,'Cadastro de Produtos'!F16,Novembro!$I:$I)/SUMIF(Novembro!$F:$F,'Cadastro de Produtos'!F16,Novembro!$D:$D)-M41)/M41))</f>
        <v/>
      </c>
      <c r="N53" s="43" t="str">
        <f>IF('Cadastro de Produtos'!F16="","",IF(SUMIF(Dezembro!$F:$F,'Cadastro de Produtos'!F16,Dezembro!$D:$D)=0,"",(SUMIF(Dezembro!$F:$F,'Cadastro de Produtos'!F16,Dezembro!$I:$I)/SUMIF(Dezembro!$F:$F,'Cadastro de Produtos'!F16,Dezembro!$D:$D)-N41)/N41))</f>
        <v/>
      </c>
    </row>
    <row r="54" spans="2:14" x14ac:dyDescent="0.25">
      <c r="B54" s="38" t="str">
        <f>IF('Cadastro de Produtos'!F17="","",'Cadastro de Produtos'!F17)</f>
        <v/>
      </c>
      <c r="C54" s="44" t="str">
        <f>IF('Cadastro de Produtos'!F17="","",IF(SUMIF(Janeiro!$F:$F,'Cadastro de Produtos'!F17,Janeiro!$D:$D)=0,"",(SUMIF(Janeiro!$F:$F,'Cadastro de Produtos'!F17,Janeiro!$I:$I)/SUMIF(Janeiro!$F:$F,'Cadastro de Produtos'!F17,Janeiro!$D:$D)-C41)/C41))</f>
        <v/>
      </c>
      <c r="D54" s="44" t="str">
        <f>IF('Cadastro de Produtos'!F17="","",IF(SUMIF(Fevereiro!$F:$F,'Cadastro de Produtos'!F17,Fevereiro!$D:$D)=0,"",(SUMIF(Fevereiro!$F:$F,'Cadastro de Produtos'!F17,Fevereiro!$I:$I)/SUMIF(Fevereiro!$F:$F,'Cadastro de Produtos'!F17,Fevereiro!$D:$D)-D41)/D41))</f>
        <v/>
      </c>
      <c r="E54" s="44" t="str">
        <f>IF('Cadastro de Produtos'!F17="","",IF(SUMIF(Março!$F:$F,'Cadastro de Produtos'!F17,Março!$D:$D)=0,"",(SUMIF(Março!$F:$F,'Cadastro de Produtos'!F17,Março!$I:$I)/SUMIF(Março!$F:$F,'Cadastro de Produtos'!F17,Março!$D:$D)-E41)/E41))</f>
        <v/>
      </c>
      <c r="F54" s="44" t="str">
        <f>IF('Cadastro de Produtos'!F17="","",IF(SUMIF(Abril!$F:$F,'Cadastro de Produtos'!F17,Abril!$D:$D)=0,"",(SUMIF(Abril!$F:$F,'Cadastro de Produtos'!F17,Abril!$I:$I)/SUMIF(Abril!$F:$F,'Cadastro de Produtos'!F17,Abril!$D:$D)-F41)/F41))</f>
        <v/>
      </c>
      <c r="G54" s="44" t="str">
        <f>IF('Cadastro de Produtos'!F17="","",IF(SUMIF(Maio!$F:$F,'Cadastro de Produtos'!F17,Maio!$D:$D)=0,"",(SUMIF(Maio!$F:$F,'Cadastro de Produtos'!F17,Maio!$I:$I)/SUMIF(Maio!$F:$F,'Cadastro de Produtos'!F17,Maio!$D:$D)-G41)/G41))</f>
        <v/>
      </c>
      <c r="H54" s="44" t="str">
        <f>IF('Cadastro de Produtos'!F17="","",IF(SUMIF(Junho!$F:$F,'Cadastro de Produtos'!F17,Junho!$D:$D)=0,"",(SUMIF(Junho!$F:$F,'Cadastro de Produtos'!F17,Junho!$I:$I)/SUMIF(Junho!$F:$F,'Cadastro de Produtos'!F17,Junho!$D:$D)-H41)/H41))</f>
        <v/>
      </c>
      <c r="I54" s="44" t="str">
        <f>IF('Cadastro de Produtos'!F17="","",IF(SUMIF(Julho!$F:$F,'Cadastro de Produtos'!F17,Julho!$D:$D)=0,"",(SUMIF(Julho!$F:$F,'Cadastro de Produtos'!F17,Julho!$I:$I)/SUMIF(Julho!$F:$F,'Cadastro de Produtos'!F17,Julho!$D:$D)-I41)/I41))</f>
        <v/>
      </c>
      <c r="J54" s="44" t="str">
        <f>IF('Cadastro de Produtos'!F17="","",IF(SUMIF(Agosto!$F:$F,'Cadastro de Produtos'!F17,Agosto!$D:$D)=0,"",(SUMIF(Agosto!$F:$F,'Cadastro de Produtos'!F17,Agosto!$I:$I)/SUMIF(Agosto!$F:$F,'Cadastro de Produtos'!F17,Agosto!$D:$D)-J41)/J41))</f>
        <v/>
      </c>
      <c r="K54" s="44" t="str">
        <f>IF('Cadastro de Produtos'!F17="","",IF(SUMIF(Setembro!$F:$F,'Cadastro de Produtos'!F17,Setembro!$D:$D)=0,"",(SUMIF(Setembro!$F:$F,'Cadastro de Produtos'!F17,Setembro!$I:$I)/SUMIF(Setembro!$F:$F,'Cadastro de Produtos'!F17,Setembro!$D:$D)-K41)/K41))</f>
        <v/>
      </c>
      <c r="L54" s="44" t="str">
        <f>IF('Cadastro de Produtos'!F17="","",IF(SUMIF(Outubro!$F:$F,'Cadastro de Produtos'!F17,Outubro!$D:$D)=0,"",(SUMIF(Outubro!$F:$F,'Cadastro de Produtos'!F17,Outubro!$I:$I)/SUMIF(Outubro!$F:$F,'Cadastro de Produtos'!F17,Outubro!$D:$D)-L41)/L41))</f>
        <v/>
      </c>
      <c r="M54" s="44" t="str">
        <f>IF('Cadastro de Produtos'!F17="","",IF(SUMIF(Novembro!$F:$F,'Cadastro de Produtos'!F17,Novembro!$D:$D)=0,"",(SUMIF(Novembro!$F:$F,'Cadastro de Produtos'!F17,Novembro!$I:$I)/SUMIF(Novembro!$F:$F,'Cadastro de Produtos'!F17,Novembro!$D:$D)-M41)/M41))</f>
        <v/>
      </c>
      <c r="N54" s="44" t="str">
        <f>IF('Cadastro de Produtos'!F17="","",IF(SUMIF(Dezembro!$F:$F,'Cadastro de Produtos'!F17,Dezembro!$D:$D)=0,"",(SUMIF(Dezembro!$F:$F,'Cadastro de Produtos'!F17,Dezembro!$I:$I)/SUMIF(Dezembro!$F:$F,'Cadastro de Produtos'!F17,Dezembro!$D:$D)-N41)/N41))</f>
        <v/>
      </c>
    </row>
    <row r="55" spans="2:14" x14ac:dyDescent="0.25">
      <c r="B55" s="35" t="str">
        <f>IF('Cadastro de Produtos'!F18="","",'Cadastro de Produtos'!F18)</f>
        <v/>
      </c>
      <c r="C55" s="43" t="str">
        <f>IF('Cadastro de Produtos'!F18="","",IF(SUMIF(Janeiro!$F:$F,'Cadastro de Produtos'!F18,Janeiro!$D:$D)=0,"",(SUMIF(Janeiro!$F:$F,'Cadastro de Produtos'!F18,Janeiro!$I:$I)/SUMIF(Janeiro!$F:$F,'Cadastro de Produtos'!F18,Janeiro!$D:$D)-C41)/C41))</f>
        <v/>
      </c>
      <c r="D55" s="43" t="str">
        <f>IF('Cadastro de Produtos'!F18="","",IF(SUMIF(Fevereiro!$F:$F,'Cadastro de Produtos'!F18,Fevereiro!$D:$D)=0,"",(SUMIF(Fevereiro!$F:$F,'Cadastro de Produtos'!F18,Fevereiro!$I:$I)/SUMIF(Fevereiro!$F:$F,'Cadastro de Produtos'!F18,Fevereiro!$D:$D)-D41)/D41))</f>
        <v/>
      </c>
      <c r="E55" s="43" t="str">
        <f>IF('Cadastro de Produtos'!F18="","",IF(SUMIF(Março!$F:$F,'Cadastro de Produtos'!F18,Março!$D:$D)=0,"",(SUMIF(Março!$F:$F,'Cadastro de Produtos'!F18,Março!$I:$I)/SUMIF(Março!$F:$F,'Cadastro de Produtos'!F18,Março!$D:$D)-E41)/E41))</f>
        <v/>
      </c>
      <c r="F55" s="43" t="str">
        <f>IF('Cadastro de Produtos'!F18="","",IF(SUMIF(Abril!$F:$F,'Cadastro de Produtos'!F18,Abril!$D:$D)=0,"",(SUMIF(Abril!$F:$F,'Cadastro de Produtos'!F18,Abril!$I:$I)/SUMIF(Abril!$F:$F,'Cadastro de Produtos'!F18,Abril!$D:$D)-F41)/F41))</f>
        <v/>
      </c>
      <c r="G55" s="43" t="str">
        <f>IF('Cadastro de Produtos'!F18="","",IF(SUMIF(Maio!$F:$F,'Cadastro de Produtos'!F18,Maio!$D:$D)=0,"",(SUMIF(Maio!$F:$F,'Cadastro de Produtos'!F18,Maio!$I:$I)/SUMIF(Maio!$F:$F,'Cadastro de Produtos'!F18,Maio!$D:$D)-G41)/G41))</f>
        <v/>
      </c>
      <c r="H55" s="43" t="str">
        <f>IF('Cadastro de Produtos'!F18="","",IF(SUMIF(Junho!$F:$F,'Cadastro de Produtos'!F18,Junho!$D:$D)=0,"",(SUMIF(Junho!$F:$F,'Cadastro de Produtos'!F18,Junho!$I:$I)/SUMIF(Junho!$F:$F,'Cadastro de Produtos'!F18,Junho!$D:$D)-H41)/H41))</f>
        <v/>
      </c>
      <c r="I55" s="43" t="str">
        <f>IF('Cadastro de Produtos'!F18="","",IF(SUMIF(Julho!$F:$F,'Cadastro de Produtos'!F18,Julho!$D:$D)=0,"",(SUMIF(Julho!$F:$F,'Cadastro de Produtos'!F18,Julho!$I:$I)/SUMIF(Julho!$F:$F,'Cadastro de Produtos'!F18,Julho!$D:$D)-I41)/I41))</f>
        <v/>
      </c>
      <c r="J55" s="43" t="str">
        <f>IF('Cadastro de Produtos'!F18="","",IF(SUMIF(Agosto!$F:$F,'Cadastro de Produtos'!F18,Agosto!$D:$D)=0,"",(SUMIF(Agosto!$F:$F,'Cadastro de Produtos'!F18,Agosto!$I:$I)/SUMIF(Agosto!$F:$F,'Cadastro de Produtos'!F18,Agosto!$D:$D)-J41)/J41))</f>
        <v/>
      </c>
      <c r="K55" s="43" t="str">
        <f>IF('Cadastro de Produtos'!F18="","",IF(SUMIF(Setembro!$F:$F,'Cadastro de Produtos'!F18,Setembro!$D:$D)=0,"",(SUMIF(Setembro!$F:$F,'Cadastro de Produtos'!F18,Setembro!$I:$I)/SUMIF(Setembro!$F:$F,'Cadastro de Produtos'!F18,Setembro!$D:$D)-K41)/K41))</f>
        <v/>
      </c>
      <c r="L55" s="43" t="str">
        <f>IF('Cadastro de Produtos'!F18="","",IF(SUMIF(Outubro!$F:$F,'Cadastro de Produtos'!F18,Outubro!$D:$D)=0,"",(SUMIF(Outubro!$F:$F,'Cadastro de Produtos'!F18,Outubro!$I:$I)/SUMIF(Outubro!$F:$F,'Cadastro de Produtos'!F18,Outubro!$D:$D)-L41)/L41))</f>
        <v/>
      </c>
      <c r="M55" s="43" t="str">
        <f>IF('Cadastro de Produtos'!F18="","",IF(SUMIF(Novembro!$F:$F,'Cadastro de Produtos'!F18,Novembro!$D:$D)=0,"",(SUMIF(Novembro!$F:$F,'Cadastro de Produtos'!F18,Novembro!$I:$I)/SUMIF(Novembro!$F:$F,'Cadastro de Produtos'!F18,Novembro!$D:$D)-M41)/M41))</f>
        <v/>
      </c>
      <c r="N55" s="43" t="str">
        <f>IF('Cadastro de Produtos'!F18="","",IF(SUMIF(Dezembro!$F:$F,'Cadastro de Produtos'!F18,Dezembro!$D:$D)=0,"",(SUMIF(Dezembro!$F:$F,'Cadastro de Produtos'!F18,Dezembro!$I:$I)/SUMIF(Dezembro!$F:$F,'Cadastro de Produtos'!F18,Dezembro!$D:$D)-N41)/N41))</f>
        <v/>
      </c>
    </row>
    <row r="56" spans="2:14" x14ac:dyDescent="0.25">
      <c r="B56" s="38" t="str">
        <f>IF('Cadastro de Produtos'!F19="","",'Cadastro de Produtos'!F19)</f>
        <v/>
      </c>
      <c r="C56" s="44" t="str">
        <f>IF('Cadastro de Produtos'!F19="","",IF(SUMIF(Janeiro!$F:$F,'Cadastro de Produtos'!F19,Janeiro!$D:$D)=0,"",(SUMIF(Janeiro!$F:$F,'Cadastro de Produtos'!F19,Janeiro!$I:$I)/SUMIF(Janeiro!$F:$F,'Cadastro de Produtos'!F19,Janeiro!$D:$D)-C41)/C41))</f>
        <v/>
      </c>
      <c r="D56" s="44" t="str">
        <f>IF('Cadastro de Produtos'!F19="","",IF(SUMIF(Fevereiro!$F:$F,'Cadastro de Produtos'!F19,Fevereiro!$D:$D)=0,"",(SUMIF(Fevereiro!$F:$F,'Cadastro de Produtos'!F19,Fevereiro!$I:$I)/SUMIF(Fevereiro!$F:$F,'Cadastro de Produtos'!F19,Fevereiro!$D:$D)-D41)/D41))</f>
        <v/>
      </c>
      <c r="E56" s="44" t="str">
        <f>IF('Cadastro de Produtos'!F19="","",IF(SUMIF(Março!$F:$F,'Cadastro de Produtos'!F19,Março!$D:$D)=0,"",(SUMIF(Março!$F:$F,'Cadastro de Produtos'!F19,Março!$I:$I)/SUMIF(Março!$F:$F,'Cadastro de Produtos'!F19,Março!$D:$D)-E41)/E41))</f>
        <v/>
      </c>
      <c r="F56" s="44" t="str">
        <f>IF('Cadastro de Produtos'!F19="","",IF(SUMIF(Abril!$F:$F,'Cadastro de Produtos'!F19,Abril!$D:$D)=0,"",(SUMIF(Abril!$F:$F,'Cadastro de Produtos'!F19,Abril!$I:$I)/SUMIF(Abril!$F:$F,'Cadastro de Produtos'!F19,Abril!$D:$D)-F41)/F41))</f>
        <v/>
      </c>
      <c r="G56" s="44" t="str">
        <f>IF('Cadastro de Produtos'!F19="","",IF(SUMIF(Maio!$F:$F,'Cadastro de Produtos'!F19,Maio!$D:$D)=0,"",(SUMIF(Maio!$F:$F,'Cadastro de Produtos'!F19,Maio!$I:$I)/SUMIF(Maio!$F:$F,'Cadastro de Produtos'!F19,Maio!$D:$D)-G41)/G41))</f>
        <v/>
      </c>
      <c r="H56" s="44" t="str">
        <f>IF('Cadastro de Produtos'!F19="","",IF(SUMIF(Junho!$F:$F,'Cadastro de Produtos'!F19,Junho!$D:$D)=0,"",(SUMIF(Junho!$F:$F,'Cadastro de Produtos'!F19,Junho!$I:$I)/SUMIF(Junho!$F:$F,'Cadastro de Produtos'!F19,Junho!$D:$D)-H41)/H41))</f>
        <v/>
      </c>
      <c r="I56" s="44" t="str">
        <f>IF('Cadastro de Produtos'!F19="","",IF(SUMIF(Julho!$F:$F,'Cadastro de Produtos'!F19,Julho!$D:$D)=0,"",(SUMIF(Julho!$F:$F,'Cadastro de Produtos'!F19,Julho!$I:$I)/SUMIF(Julho!$F:$F,'Cadastro de Produtos'!F19,Julho!$D:$D)-I41)/I41))</f>
        <v/>
      </c>
      <c r="J56" s="44" t="str">
        <f>IF('Cadastro de Produtos'!F19="","",IF(SUMIF(Agosto!$F:$F,'Cadastro de Produtos'!F19,Agosto!$D:$D)=0,"",(SUMIF(Agosto!$F:$F,'Cadastro de Produtos'!F19,Agosto!$I:$I)/SUMIF(Agosto!$F:$F,'Cadastro de Produtos'!F19,Agosto!$D:$D)-J41)/J41))</f>
        <v/>
      </c>
      <c r="K56" s="44" t="str">
        <f>IF('Cadastro de Produtos'!F19="","",IF(SUMIF(Setembro!$F:$F,'Cadastro de Produtos'!F19,Setembro!$D:$D)=0,"",(SUMIF(Setembro!$F:$F,'Cadastro de Produtos'!F19,Setembro!$I:$I)/SUMIF(Setembro!$F:$F,'Cadastro de Produtos'!F19,Setembro!$D:$D)-K41)/K41))</f>
        <v/>
      </c>
      <c r="L56" s="44" t="str">
        <f>IF('Cadastro de Produtos'!F19="","",IF(SUMIF(Outubro!$F:$F,'Cadastro de Produtos'!F19,Outubro!$D:$D)=0,"",(SUMIF(Outubro!$F:$F,'Cadastro de Produtos'!F19,Outubro!$I:$I)/SUMIF(Outubro!$F:$F,'Cadastro de Produtos'!F19,Outubro!$D:$D)-L41)/L41))</f>
        <v/>
      </c>
      <c r="M56" s="44" t="str">
        <f>IF('Cadastro de Produtos'!F19="","",IF(SUMIF(Novembro!$F:$F,'Cadastro de Produtos'!F19,Novembro!$D:$D)=0,"",(SUMIF(Novembro!$F:$F,'Cadastro de Produtos'!F19,Novembro!$I:$I)/SUMIF(Novembro!$F:$F,'Cadastro de Produtos'!F19,Novembro!$D:$D)-M41)/M41))</f>
        <v/>
      </c>
      <c r="N56" s="44" t="str">
        <f>IF('Cadastro de Produtos'!F19="","",IF(SUMIF(Dezembro!$F:$F,'Cadastro de Produtos'!F19,Dezembro!$D:$D)=0,"",(SUMIF(Dezembro!$F:$F,'Cadastro de Produtos'!F19,Dezembro!$I:$I)/SUMIF(Dezembro!$F:$F,'Cadastro de Produtos'!F19,Dezembro!$D:$D)-N41)/N41))</f>
        <v/>
      </c>
    </row>
    <row r="57" spans="2:14" x14ac:dyDescent="0.25">
      <c r="B57" s="35" t="str">
        <f>IF('Cadastro de Produtos'!F20="","",'Cadastro de Produtos'!F20)</f>
        <v/>
      </c>
      <c r="C57" s="43" t="str">
        <f>IF('Cadastro de Produtos'!F20="","",IF(SUMIF(Janeiro!$F:$F,'Cadastro de Produtos'!F20,Janeiro!$D:$D)=0,"",(SUMIF(Janeiro!$F:$F,'Cadastro de Produtos'!F20,Janeiro!$I:$I)/SUMIF(Janeiro!$F:$F,'Cadastro de Produtos'!F20,Janeiro!$D:$D)-C41)/C41))</f>
        <v/>
      </c>
      <c r="D57" s="43" t="str">
        <f>IF('Cadastro de Produtos'!F20="","",IF(SUMIF(Fevereiro!$F:$F,'Cadastro de Produtos'!F20,Fevereiro!$D:$D)=0,"",(SUMIF(Fevereiro!$F:$F,'Cadastro de Produtos'!F20,Fevereiro!$I:$I)/SUMIF(Fevereiro!$F:$F,'Cadastro de Produtos'!F20,Fevereiro!$D:$D)-D41)/D41))</f>
        <v/>
      </c>
      <c r="E57" s="43" t="str">
        <f>IF('Cadastro de Produtos'!F20="","",IF(SUMIF(Março!$F:$F,'Cadastro de Produtos'!F20,Março!$D:$D)=0,"",(SUMIF(Março!$F:$F,'Cadastro de Produtos'!F20,Março!$I:$I)/SUMIF(Março!$F:$F,'Cadastro de Produtos'!F20,Março!$D:$D)-E41)/E41))</f>
        <v/>
      </c>
      <c r="F57" s="43" t="str">
        <f>IF('Cadastro de Produtos'!F20="","",IF(SUMIF(Abril!$F:$F,'Cadastro de Produtos'!F20,Abril!$D:$D)=0,"",(SUMIF(Abril!$F:$F,'Cadastro de Produtos'!F20,Abril!$I:$I)/SUMIF(Abril!$F:$F,'Cadastro de Produtos'!F20,Abril!$D:$D)-F41)/F41))</f>
        <v/>
      </c>
      <c r="G57" s="43" t="str">
        <f>IF('Cadastro de Produtos'!F20="","",IF(SUMIF(Maio!$F:$F,'Cadastro de Produtos'!F20,Maio!$D:$D)=0,"",(SUMIF(Maio!$F:$F,'Cadastro de Produtos'!F20,Maio!$I:$I)/SUMIF(Maio!$F:$F,'Cadastro de Produtos'!F20,Maio!$D:$D)-G41)/G41))</f>
        <v/>
      </c>
      <c r="H57" s="43" t="str">
        <f>IF('Cadastro de Produtos'!F20="","",IF(SUMIF(Junho!$F:$F,'Cadastro de Produtos'!F20,Junho!$D:$D)=0,"",(SUMIF(Junho!$F:$F,'Cadastro de Produtos'!F20,Junho!$I:$I)/SUMIF(Junho!$F:$F,'Cadastro de Produtos'!F20,Junho!$D:$D)-H41)/H41))</f>
        <v/>
      </c>
      <c r="I57" s="43" t="str">
        <f>IF('Cadastro de Produtos'!F20="","",IF(SUMIF(Julho!$F:$F,'Cadastro de Produtos'!F20,Julho!$D:$D)=0,"",(SUMIF(Julho!$F:$F,'Cadastro de Produtos'!F20,Julho!$I:$I)/SUMIF(Julho!$F:$F,'Cadastro de Produtos'!F20,Julho!$D:$D)-I41)/I41))</f>
        <v/>
      </c>
      <c r="J57" s="43" t="str">
        <f>IF('Cadastro de Produtos'!F20="","",IF(SUMIF(Agosto!$F:$F,'Cadastro de Produtos'!F20,Agosto!$D:$D)=0,"",(SUMIF(Agosto!$F:$F,'Cadastro de Produtos'!F20,Agosto!$I:$I)/SUMIF(Agosto!$F:$F,'Cadastro de Produtos'!F20,Agosto!$D:$D)-J41)/J41))</f>
        <v/>
      </c>
      <c r="K57" s="43" t="str">
        <f>IF('Cadastro de Produtos'!F20="","",IF(SUMIF(Setembro!$F:$F,'Cadastro de Produtos'!F20,Setembro!$D:$D)=0,"",(SUMIF(Setembro!$F:$F,'Cadastro de Produtos'!F20,Setembro!$I:$I)/SUMIF(Setembro!$F:$F,'Cadastro de Produtos'!F20,Setembro!$D:$D)-K41)/K41))</f>
        <v/>
      </c>
      <c r="L57" s="43" t="str">
        <f>IF('Cadastro de Produtos'!F20="","",IF(SUMIF(Outubro!$F:$F,'Cadastro de Produtos'!F20,Outubro!$D:$D)=0,"",(SUMIF(Outubro!$F:$F,'Cadastro de Produtos'!F20,Outubro!$I:$I)/SUMIF(Outubro!$F:$F,'Cadastro de Produtos'!F20,Outubro!$D:$D)-L41)/L41))</f>
        <v/>
      </c>
      <c r="M57" s="43" t="str">
        <f>IF('Cadastro de Produtos'!F20="","",IF(SUMIF(Novembro!$F:$F,'Cadastro de Produtos'!F20,Novembro!$D:$D)=0,"",(SUMIF(Novembro!$F:$F,'Cadastro de Produtos'!F20,Novembro!$I:$I)/SUMIF(Novembro!$F:$F,'Cadastro de Produtos'!F20,Novembro!$D:$D)-M41)/M41))</f>
        <v/>
      </c>
      <c r="N57" s="43" t="str">
        <f>IF('Cadastro de Produtos'!F20="","",IF(SUMIF(Dezembro!$F:$F,'Cadastro de Produtos'!F20,Dezembro!$D:$D)=0,"",(SUMIF(Dezembro!$F:$F,'Cadastro de Produtos'!F20,Dezembro!$I:$I)/SUMIF(Dezembro!$F:$F,'Cadastro de Produtos'!F20,Dezembro!$D:$D)-N41)/N41))</f>
        <v/>
      </c>
    </row>
    <row r="58" spans="2:14" x14ac:dyDescent="0.25">
      <c r="B58" s="38" t="str">
        <f>IF('Cadastro de Produtos'!F21="","",'Cadastro de Produtos'!F21)</f>
        <v/>
      </c>
      <c r="C58" s="44" t="str">
        <f>IF('Cadastro de Produtos'!F21="","",IF(SUMIF(Janeiro!$F:$F,'Cadastro de Produtos'!F21,Janeiro!$D:$D)=0,"",(SUMIF(Janeiro!$F:$F,'Cadastro de Produtos'!F21,Janeiro!$I:$I)/SUMIF(Janeiro!$F:$F,'Cadastro de Produtos'!F21,Janeiro!$D:$D)-C41)/C41))</f>
        <v/>
      </c>
      <c r="D58" s="44" t="str">
        <f>IF('Cadastro de Produtos'!F21="","",IF(SUMIF(Fevereiro!$F:$F,'Cadastro de Produtos'!F21,Fevereiro!$D:$D)=0,"",(SUMIF(Fevereiro!$F:$F,'Cadastro de Produtos'!F21,Fevereiro!$I:$I)/SUMIF(Fevereiro!$F:$F,'Cadastro de Produtos'!F21,Fevereiro!$D:$D)-D41)/D41))</f>
        <v/>
      </c>
      <c r="E58" s="44" t="str">
        <f>IF('Cadastro de Produtos'!F21="","",IF(SUMIF(Março!$F:$F,'Cadastro de Produtos'!F21,Março!$D:$D)=0,"",(SUMIF(Março!$F:$F,'Cadastro de Produtos'!F21,Março!$I:$I)/SUMIF(Março!$F:$F,'Cadastro de Produtos'!F21,Março!$D:$D)-E41)/E41))</f>
        <v/>
      </c>
      <c r="F58" s="44" t="str">
        <f>IF('Cadastro de Produtos'!F21="","",IF(SUMIF(Abril!$F:$F,'Cadastro de Produtos'!F21,Abril!$D:$D)=0,"",(SUMIF(Abril!$F:$F,'Cadastro de Produtos'!F21,Abril!$I:$I)/SUMIF(Abril!$F:$F,'Cadastro de Produtos'!F21,Abril!$D:$D)-F41)/F41))</f>
        <v/>
      </c>
      <c r="G58" s="44" t="str">
        <f>IF('Cadastro de Produtos'!F21="","",IF(SUMIF(Maio!$F:$F,'Cadastro de Produtos'!F21,Maio!$D:$D)=0,"",(SUMIF(Maio!$F:$F,'Cadastro de Produtos'!F21,Maio!$I:$I)/SUMIF(Maio!$F:$F,'Cadastro de Produtos'!F21,Maio!$D:$D)-G41)/G41))</f>
        <v/>
      </c>
      <c r="H58" s="44" t="str">
        <f>IF('Cadastro de Produtos'!F21="","",IF(SUMIF(Junho!$F:$F,'Cadastro de Produtos'!F21,Junho!$D:$D)=0,"",(SUMIF(Junho!$F:$F,'Cadastro de Produtos'!F21,Junho!$I:$I)/SUMIF(Junho!$F:$F,'Cadastro de Produtos'!F21,Junho!$D:$D)-H41)/H41))</f>
        <v/>
      </c>
      <c r="I58" s="44" t="str">
        <f>IF('Cadastro de Produtos'!F21="","",IF(SUMIF(Julho!$F:$F,'Cadastro de Produtos'!F21,Julho!$D:$D)=0,"",(SUMIF(Julho!$F:$F,'Cadastro de Produtos'!F21,Julho!$I:$I)/SUMIF(Julho!$F:$F,'Cadastro de Produtos'!F21,Julho!$D:$D)-I41)/I41))</f>
        <v/>
      </c>
      <c r="J58" s="44" t="str">
        <f>IF('Cadastro de Produtos'!F21="","",IF(SUMIF(Agosto!$F:$F,'Cadastro de Produtos'!F21,Agosto!$D:$D)=0,"",(SUMIF(Agosto!$F:$F,'Cadastro de Produtos'!F21,Agosto!$I:$I)/SUMIF(Agosto!$F:$F,'Cadastro de Produtos'!F21,Agosto!$D:$D)-J41)/J41))</f>
        <v/>
      </c>
      <c r="K58" s="44" t="str">
        <f>IF('Cadastro de Produtos'!F21="","",IF(SUMIF(Setembro!$F:$F,'Cadastro de Produtos'!F21,Setembro!$D:$D)=0,"",(SUMIF(Setembro!$F:$F,'Cadastro de Produtos'!F21,Setembro!$I:$I)/SUMIF(Setembro!$F:$F,'Cadastro de Produtos'!F21,Setembro!$D:$D)-K41)/K41))</f>
        <v/>
      </c>
      <c r="L58" s="44" t="str">
        <f>IF('Cadastro de Produtos'!F21="","",IF(SUMIF(Outubro!$F:$F,'Cadastro de Produtos'!F21,Outubro!$D:$D)=0,"",(SUMIF(Outubro!$F:$F,'Cadastro de Produtos'!F21,Outubro!$I:$I)/SUMIF(Outubro!$F:$F,'Cadastro de Produtos'!F21,Outubro!$D:$D)-L41)/L41))</f>
        <v/>
      </c>
      <c r="M58" s="44" t="str">
        <f>IF('Cadastro de Produtos'!F21="","",IF(SUMIF(Novembro!$F:$F,'Cadastro de Produtos'!F21,Novembro!$D:$D)=0,"",(SUMIF(Novembro!$F:$F,'Cadastro de Produtos'!F21,Novembro!$I:$I)/SUMIF(Novembro!$F:$F,'Cadastro de Produtos'!F21,Novembro!$D:$D)-M41)/M41))</f>
        <v/>
      </c>
      <c r="N58" s="44" t="str">
        <f>IF('Cadastro de Produtos'!F21="","",IF(SUMIF(Dezembro!$F:$F,'Cadastro de Produtos'!F21,Dezembro!$D:$D)=0,"",(SUMIF(Dezembro!$F:$F,'Cadastro de Produtos'!F21,Dezembro!$I:$I)/SUMIF(Dezembro!$F:$F,'Cadastro de Produtos'!F21,Dezembro!$D:$D)-N41)/N41))</f>
        <v/>
      </c>
    </row>
    <row r="59" spans="2:14" x14ac:dyDescent="0.25">
      <c r="B59" s="35" t="str">
        <f>IF('Cadastro de Produtos'!F22="","",'Cadastro de Produtos'!F22)</f>
        <v/>
      </c>
      <c r="C59" s="43" t="str">
        <f>IF('Cadastro de Produtos'!F22="","",IF(SUMIF(Janeiro!$F:$F,'Cadastro de Produtos'!F22,Janeiro!$D:$D)=0,"",(SUMIF(Janeiro!$F:$F,'Cadastro de Produtos'!F22,Janeiro!$I:$I)/SUMIF(Janeiro!$F:$F,'Cadastro de Produtos'!F22,Janeiro!$D:$D)-C41)/C41))</f>
        <v/>
      </c>
      <c r="D59" s="43" t="str">
        <f>IF('Cadastro de Produtos'!F22="","",IF(SUMIF(Fevereiro!$F:$F,'Cadastro de Produtos'!F22,Fevereiro!$D:$D)=0,"",(SUMIF(Fevereiro!$F:$F,'Cadastro de Produtos'!F22,Fevereiro!$I:$I)/SUMIF(Fevereiro!$F:$F,'Cadastro de Produtos'!F22,Fevereiro!$D:$D)-D41)/D41))</f>
        <v/>
      </c>
      <c r="E59" s="43" t="str">
        <f>IF('Cadastro de Produtos'!F22="","",IF(SUMIF(Março!$F:$F,'Cadastro de Produtos'!F22,Março!$D:$D)=0,"",(SUMIF(Março!$F:$F,'Cadastro de Produtos'!F22,Março!$I:$I)/SUMIF(Março!$F:$F,'Cadastro de Produtos'!F22,Março!$D:$D)-E41)/E41))</f>
        <v/>
      </c>
      <c r="F59" s="43" t="str">
        <f>IF('Cadastro de Produtos'!F22="","",IF(SUMIF(Abril!$F:$F,'Cadastro de Produtos'!F22,Abril!$D:$D)=0,"",(SUMIF(Abril!$F:$F,'Cadastro de Produtos'!F22,Abril!$I:$I)/SUMIF(Abril!$F:$F,'Cadastro de Produtos'!F22,Abril!$D:$D)-F41)/F41))</f>
        <v/>
      </c>
      <c r="G59" s="43" t="str">
        <f>IF('Cadastro de Produtos'!F22="","",IF(SUMIF(Maio!$F:$F,'Cadastro de Produtos'!F22,Maio!$D:$D)=0,"",(SUMIF(Maio!$F:$F,'Cadastro de Produtos'!F22,Maio!$I:$I)/SUMIF(Maio!$F:$F,'Cadastro de Produtos'!F22,Maio!$D:$D)-G41)/G41))</f>
        <v/>
      </c>
      <c r="H59" s="43" t="str">
        <f>IF('Cadastro de Produtos'!F22="","",IF(SUMIF(Junho!$F:$F,'Cadastro de Produtos'!F22,Junho!$D:$D)=0,"",(SUMIF(Junho!$F:$F,'Cadastro de Produtos'!F22,Junho!$I:$I)/SUMIF(Junho!$F:$F,'Cadastro de Produtos'!F22,Junho!$D:$D)-H41)/H41))</f>
        <v/>
      </c>
      <c r="I59" s="43" t="str">
        <f>IF('Cadastro de Produtos'!F22="","",IF(SUMIF(Julho!$F:$F,'Cadastro de Produtos'!F22,Julho!$D:$D)=0,"",(SUMIF(Julho!$F:$F,'Cadastro de Produtos'!F22,Julho!$I:$I)/SUMIF(Julho!$F:$F,'Cadastro de Produtos'!F22,Julho!$D:$D)-I41)/I41))</f>
        <v/>
      </c>
      <c r="J59" s="43" t="str">
        <f>IF('Cadastro de Produtos'!F22="","",IF(SUMIF(Agosto!$F:$F,'Cadastro de Produtos'!F22,Agosto!$D:$D)=0,"",(SUMIF(Agosto!$F:$F,'Cadastro de Produtos'!F22,Agosto!$I:$I)/SUMIF(Agosto!$F:$F,'Cadastro de Produtos'!F22,Agosto!$D:$D)-J41)/J41))</f>
        <v/>
      </c>
      <c r="K59" s="43" t="str">
        <f>IF('Cadastro de Produtos'!F22="","",IF(SUMIF(Setembro!$F:$F,'Cadastro de Produtos'!F22,Setembro!$D:$D)=0,"",(SUMIF(Setembro!$F:$F,'Cadastro de Produtos'!F22,Setembro!$I:$I)/SUMIF(Setembro!$F:$F,'Cadastro de Produtos'!F22,Setembro!$D:$D)-K41)/K41))</f>
        <v/>
      </c>
      <c r="L59" s="43" t="str">
        <f>IF('Cadastro de Produtos'!F22="","",IF(SUMIF(Outubro!$F:$F,'Cadastro de Produtos'!F22,Outubro!$D:$D)=0,"",(SUMIF(Outubro!$F:$F,'Cadastro de Produtos'!F22,Outubro!$I:$I)/SUMIF(Outubro!$F:$F,'Cadastro de Produtos'!F22,Outubro!$D:$D)-L41)/L41))</f>
        <v/>
      </c>
      <c r="M59" s="43" t="str">
        <f>IF('Cadastro de Produtos'!F22="","",IF(SUMIF(Novembro!$F:$F,'Cadastro de Produtos'!F22,Novembro!$D:$D)=0,"",(SUMIF(Novembro!$F:$F,'Cadastro de Produtos'!F22,Novembro!$I:$I)/SUMIF(Novembro!$F:$F,'Cadastro de Produtos'!F22,Novembro!$D:$D)-M41)/M41))</f>
        <v/>
      </c>
      <c r="N59" s="43" t="str">
        <f>IF('Cadastro de Produtos'!F22="","",IF(SUMIF(Dezembro!$F:$F,'Cadastro de Produtos'!F22,Dezembro!$D:$D)=0,"",(SUMIF(Dezembro!$F:$F,'Cadastro de Produtos'!F22,Dezembro!$I:$I)/SUMIF(Dezembro!$F:$F,'Cadastro de Produtos'!F22,Dezembro!$D:$D)-N41)/N41))</f>
        <v/>
      </c>
    </row>
    <row r="60" spans="2:14" x14ac:dyDescent="0.25">
      <c r="B60" s="38" t="str">
        <f>IF('Cadastro de Produtos'!F23="","",'Cadastro de Produtos'!F23)</f>
        <v/>
      </c>
      <c r="C60" s="44" t="str">
        <f>IF('Cadastro de Produtos'!F23="","",IF(SUMIF(Janeiro!$F:$F,'Cadastro de Produtos'!F23,Janeiro!$D:$D)=0,"",(SUMIF(Janeiro!$F:$F,'Cadastro de Produtos'!F23,Janeiro!$I:$I)/SUMIF(Janeiro!$F:$F,'Cadastro de Produtos'!F23,Janeiro!$D:$D)-C41)/C41))</f>
        <v/>
      </c>
      <c r="D60" s="44" t="str">
        <f>IF('Cadastro de Produtos'!F23="","",IF(SUMIF(Fevereiro!$F:$F,'Cadastro de Produtos'!F23,Fevereiro!$D:$D)=0,"",(SUMIF(Fevereiro!$F:$F,'Cadastro de Produtos'!F23,Fevereiro!$I:$I)/SUMIF(Fevereiro!$F:$F,'Cadastro de Produtos'!F23,Fevereiro!$D:$D)-D41)/D41))</f>
        <v/>
      </c>
      <c r="E60" s="44" t="str">
        <f>IF('Cadastro de Produtos'!F23="","",IF(SUMIF(Março!$F:$F,'Cadastro de Produtos'!F23,Março!$D:$D)=0,"",(SUMIF(Março!$F:$F,'Cadastro de Produtos'!F23,Março!$I:$I)/SUMIF(Março!$F:$F,'Cadastro de Produtos'!F23,Março!$D:$D)-E41)/E41))</f>
        <v/>
      </c>
      <c r="F60" s="44" t="str">
        <f>IF('Cadastro de Produtos'!F23="","",IF(SUMIF(Abril!$F:$F,'Cadastro de Produtos'!F23,Abril!$D:$D)=0,"",(SUMIF(Abril!$F:$F,'Cadastro de Produtos'!F23,Abril!$I:$I)/SUMIF(Abril!$F:$F,'Cadastro de Produtos'!F23,Abril!$D:$D)-F41)/F41))</f>
        <v/>
      </c>
      <c r="G60" s="44" t="str">
        <f>IF('Cadastro de Produtos'!F23="","",IF(SUMIF(Maio!$F:$F,'Cadastro de Produtos'!F23,Maio!$D:$D)=0,"",(SUMIF(Maio!$F:$F,'Cadastro de Produtos'!F23,Maio!$I:$I)/SUMIF(Maio!$F:$F,'Cadastro de Produtos'!F23,Maio!$D:$D)-G41)/G41))</f>
        <v/>
      </c>
      <c r="H60" s="44" t="str">
        <f>IF('Cadastro de Produtos'!F23="","",IF(SUMIF(Junho!$F:$F,'Cadastro de Produtos'!F23,Junho!$D:$D)=0,"",(SUMIF(Junho!$F:$F,'Cadastro de Produtos'!F23,Junho!$I:$I)/SUMIF(Junho!$F:$F,'Cadastro de Produtos'!F23,Junho!$D:$D)-H41)/H41))</f>
        <v/>
      </c>
      <c r="I60" s="44" t="str">
        <f>IF('Cadastro de Produtos'!F23="","",IF(SUMIF(Julho!$F:$F,'Cadastro de Produtos'!F23,Julho!$D:$D)=0,"",(SUMIF(Julho!$F:$F,'Cadastro de Produtos'!F23,Julho!$I:$I)/SUMIF(Julho!$F:$F,'Cadastro de Produtos'!F23,Julho!$D:$D)-I41)/I41))</f>
        <v/>
      </c>
      <c r="J60" s="44" t="str">
        <f>IF('Cadastro de Produtos'!F23="","",IF(SUMIF(Agosto!$F:$F,'Cadastro de Produtos'!F23,Agosto!$D:$D)=0,"",(SUMIF(Agosto!$F:$F,'Cadastro de Produtos'!F23,Agosto!$I:$I)/SUMIF(Agosto!$F:$F,'Cadastro de Produtos'!F23,Agosto!$D:$D)-J41)/J41))</f>
        <v/>
      </c>
      <c r="K60" s="44" t="str">
        <f>IF('Cadastro de Produtos'!F23="","",IF(SUMIF(Setembro!$F:$F,'Cadastro de Produtos'!F23,Setembro!$D:$D)=0,"",(SUMIF(Setembro!$F:$F,'Cadastro de Produtos'!F23,Setembro!$I:$I)/SUMIF(Setembro!$F:$F,'Cadastro de Produtos'!F23,Setembro!$D:$D)-K41)/K41))</f>
        <v/>
      </c>
      <c r="L60" s="44" t="str">
        <f>IF('Cadastro de Produtos'!F23="","",IF(SUMIF(Outubro!$F:$F,'Cadastro de Produtos'!F23,Outubro!$D:$D)=0,"",(SUMIF(Outubro!$F:$F,'Cadastro de Produtos'!F23,Outubro!$I:$I)/SUMIF(Outubro!$F:$F,'Cadastro de Produtos'!F23,Outubro!$D:$D)-L41)/L41))</f>
        <v/>
      </c>
      <c r="M60" s="44" t="str">
        <f>IF('Cadastro de Produtos'!F23="","",IF(SUMIF(Novembro!$F:$F,'Cadastro de Produtos'!F23,Novembro!$D:$D)=0,"",(SUMIF(Novembro!$F:$F,'Cadastro de Produtos'!F23,Novembro!$I:$I)/SUMIF(Novembro!$F:$F,'Cadastro de Produtos'!F23,Novembro!$D:$D)-M41)/M41))</f>
        <v/>
      </c>
      <c r="N60" s="44" t="str">
        <f>IF('Cadastro de Produtos'!F23="","",IF(SUMIF(Dezembro!$F:$F,'Cadastro de Produtos'!F23,Dezembro!$D:$D)=0,"",(SUMIF(Dezembro!$F:$F,'Cadastro de Produtos'!F23,Dezembro!$I:$I)/SUMIF(Dezembro!$F:$F,'Cadastro de Produtos'!F23,Dezembro!$D:$D)-N41)/N41))</f>
        <v/>
      </c>
    </row>
    <row r="61" spans="2:14" x14ac:dyDescent="0.25">
      <c r="B61" s="35" t="str">
        <f>IF('Cadastro de Produtos'!F24="","",'Cadastro de Produtos'!F24)</f>
        <v/>
      </c>
      <c r="C61" s="43" t="str">
        <f>IF('Cadastro de Produtos'!F24="","",IF(SUMIF(Janeiro!$F:$F,'Cadastro de Produtos'!F24,Janeiro!$D:$D)=0,"",(SUMIF(Janeiro!$F:$F,'Cadastro de Produtos'!F24,Janeiro!$I:$I)/SUMIF(Janeiro!$F:$F,'Cadastro de Produtos'!F24,Janeiro!$D:$D)-C41)/C41))</f>
        <v/>
      </c>
      <c r="D61" s="43" t="str">
        <f>IF('Cadastro de Produtos'!F24="","",IF(SUMIF(Fevereiro!$F:$F,'Cadastro de Produtos'!F24,Fevereiro!$D:$D)=0,"",(SUMIF(Fevereiro!$F:$F,'Cadastro de Produtos'!F24,Fevereiro!$I:$I)/SUMIF(Fevereiro!$F:$F,'Cadastro de Produtos'!F24,Fevereiro!$D:$D)-D41)/D41))</f>
        <v/>
      </c>
      <c r="E61" s="43" t="str">
        <f>IF('Cadastro de Produtos'!F24="","",IF(SUMIF(Março!$F:$F,'Cadastro de Produtos'!F24,Março!$D:$D)=0,"",(SUMIF(Março!$F:$F,'Cadastro de Produtos'!F24,Março!$I:$I)/SUMIF(Março!$F:$F,'Cadastro de Produtos'!F24,Março!$D:$D)-E41)/E41))</f>
        <v/>
      </c>
      <c r="F61" s="43" t="str">
        <f>IF('Cadastro de Produtos'!F24="","",IF(SUMIF(Abril!$F:$F,'Cadastro de Produtos'!F24,Abril!$D:$D)=0,"",(SUMIF(Abril!$F:$F,'Cadastro de Produtos'!F24,Abril!$I:$I)/SUMIF(Abril!$F:$F,'Cadastro de Produtos'!F24,Abril!$D:$D)-F41)/F41))</f>
        <v/>
      </c>
      <c r="G61" s="43" t="str">
        <f>IF('Cadastro de Produtos'!F24="","",IF(SUMIF(Maio!$F:$F,'Cadastro de Produtos'!F24,Maio!$D:$D)=0,"",(SUMIF(Maio!$F:$F,'Cadastro de Produtos'!F24,Maio!$I:$I)/SUMIF(Maio!$F:$F,'Cadastro de Produtos'!F24,Maio!$D:$D)-G41)/G41))</f>
        <v/>
      </c>
      <c r="H61" s="43" t="str">
        <f>IF('Cadastro de Produtos'!F24="","",IF(SUMIF(Junho!$F:$F,'Cadastro de Produtos'!F24,Junho!$D:$D)=0,"",(SUMIF(Junho!$F:$F,'Cadastro de Produtos'!F24,Junho!$I:$I)/SUMIF(Junho!$F:$F,'Cadastro de Produtos'!F24,Junho!$D:$D)-H41)/H41))</f>
        <v/>
      </c>
      <c r="I61" s="43" t="str">
        <f>IF('Cadastro de Produtos'!F24="","",IF(SUMIF(Julho!$F:$F,'Cadastro de Produtos'!F24,Julho!$D:$D)=0,"",(SUMIF(Julho!$F:$F,'Cadastro de Produtos'!F24,Julho!$I:$I)/SUMIF(Julho!$F:$F,'Cadastro de Produtos'!F24,Julho!$D:$D)-I41)/I41))</f>
        <v/>
      </c>
      <c r="J61" s="43" t="str">
        <f>IF('Cadastro de Produtos'!F24="","",IF(SUMIF(Agosto!$F:$F,'Cadastro de Produtos'!F24,Agosto!$D:$D)=0,"",(SUMIF(Agosto!$F:$F,'Cadastro de Produtos'!F24,Agosto!$I:$I)/SUMIF(Agosto!$F:$F,'Cadastro de Produtos'!F24,Agosto!$D:$D)-J41)/J41))</f>
        <v/>
      </c>
      <c r="K61" s="43" t="str">
        <f>IF('Cadastro de Produtos'!F24="","",IF(SUMIF(Setembro!$F:$F,'Cadastro de Produtos'!F24,Setembro!$D:$D)=0,"",(SUMIF(Setembro!$F:$F,'Cadastro de Produtos'!F24,Setembro!$I:$I)/SUMIF(Setembro!$F:$F,'Cadastro de Produtos'!F24,Setembro!$D:$D)-K41)/K41))</f>
        <v/>
      </c>
      <c r="L61" s="43" t="str">
        <f>IF('Cadastro de Produtos'!F24="","",IF(SUMIF(Outubro!$F:$F,'Cadastro de Produtos'!F24,Outubro!$D:$D)=0,"",(SUMIF(Outubro!$F:$F,'Cadastro de Produtos'!F24,Outubro!$I:$I)/SUMIF(Outubro!$F:$F,'Cadastro de Produtos'!F24,Outubro!$D:$D)-L41)/L41))</f>
        <v/>
      </c>
      <c r="M61" s="43" t="str">
        <f>IF('Cadastro de Produtos'!F24="","",IF(SUMIF(Novembro!$F:$F,'Cadastro de Produtos'!F24,Novembro!$D:$D)=0,"",(SUMIF(Novembro!$F:$F,'Cadastro de Produtos'!F24,Novembro!$I:$I)/SUMIF(Novembro!$F:$F,'Cadastro de Produtos'!F24,Novembro!$D:$D)-M41)/M41))</f>
        <v/>
      </c>
      <c r="N61" s="43" t="str">
        <f>IF('Cadastro de Produtos'!F24="","",IF(SUMIF(Dezembro!$F:$F,'Cadastro de Produtos'!F24,Dezembro!$D:$D)=0,"",(SUMIF(Dezembro!$F:$F,'Cadastro de Produtos'!F24,Dezembro!$I:$I)/SUMIF(Dezembro!$F:$F,'Cadastro de Produtos'!F24,Dezembro!$D:$D)-N41)/N41))</f>
        <v/>
      </c>
    </row>
    <row r="62" spans="2:14" x14ac:dyDescent="0.25">
      <c r="B62" s="38" t="str">
        <f>IF('Cadastro de Produtos'!F25="","",'Cadastro de Produtos'!F25)</f>
        <v/>
      </c>
      <c r="C62" s="44" t="str">
        <f>IF('Cadastro de Produtos'!F25="","",IF(SUMIF(Janeiro!$F:$F,'Cadastro de Produtos'!F25,Janeiro!$D:$D)=0,"",(SUMIF(Janeiro!$F:$F,'Cadastro de Produtos'!F25,Janeiro!$I:$I)/SUMIF(Janeiro!$F:$F,'Cadastro de Produtos'!F25,Janeiro!$D:$D)-C41)/C41))</f>
        <v/>
      </c>
      <c r="D62" s="44" t="str">
        <f>IF('Cadastro de Produtos'!F25="","",IF(SUMIF(Fevereiro!$F:$F,'Cadastro de Produtos'!F25,Fevereiro!$D:$D)=0,"",(SUMIF(Fevereiro!$F:$F,'Cadastro de Produtos'!F25,Fevereiro!$I:$I)/SUMIF(Fevereiro!$F:$F,'Cadastro de Produtos'!F25,Fevereiro!$D:$D)-D41)/D41))</f>
        <v/>
      </c>
      <c r="E62" s="44" t="str">
        <f>IF('Cadastro de Produtos'!F25="","",IF(SUMIF(Março!$F:$F,'Cadastro de Produtos'!F25,Março!$D:$D)=0,"",(SUMIF(Março!$F:$F,'Cadastro de Produtos'!F25,Março!$I:$I)/SUMIF(Março!$F:$F,'Cadastro de Produtos'!F25,Março!$D:$D)-E41)/E41))</f>
        <v/>
      </c>
      <c r="F62" s="44" t="str">
        <f>IF('Cadastro de Produtos'!F25="","",IF(SUMIF(Abril!$F:$F,'Cadastro de Produtos'!F25,Abril!$D:$D)=0,"",(SUMIF(Abril!$F:$F,'Cadastro de Produtos'!F25,Abril!$I:$I)/SUMIF(Abril!$F:$F,'Cadastro de Produtos'!F25,Abril!$D:$D)-F41)/F41))</f>
        <v/>
      </c>
      <c r="G62" s="44" t="str">
        <f>IF('Cadastro de Produtos'!F25="","",IF(SUMIF(Maio!$F:$F,'Cadastro de Produtos'!F25,Maio!$D:$D)=0,"",(SUMIF(Maio!$F:$F,'Cadastro de Produtos'!F25,Maio!$I:$I)/SUMIF(Maio!$F:$F,'Cadastro de Produtos'!F25,Maio!$D:$D)-G41)/G41))</f>
        <v/>
      </c>
      <c r="H62" s="44" t="str">
        <f>IF('Cadastro de Produtos'!F25="","",IF(SUMIF(Junho!$F:$F,'Cadastro de Produtos'!F25,Junho!$D:$D)=0,"",(SUMIF(Junho!$F:$F,'Cadastro de Produtos'!F25,Junho!$I:$I)/SUMIF(Junho!$F:$F,'Cadastro de Produtos'!F25,Junho!$D:$D)-H41)/H41))</f>
        <v/>
      </c>
      <c r="I62" s="44" t="str">
        <f>IF('Cadastro de Produtos'!F25="","",IF(SUMIF(Julho!$F:$F,'Cadastro de Produtos'!F25,Julho!$D:$D)=0,"",(SUMIF(Julho!$F:$F,'Cadastro de Produtos'!F25,Julho!$I:$I)/SUMIF(Julho!$F:$F,'Cadastro de Produtos'!F25,Julho!$D:$D)-I41)/I41))</f>
        <v/>
      </c>
      <c r="J62" s="44" t="str">
        <f>IF('Cadastro de Produtos'!F25="","",IF(SUMIF(Agosto!$F:$F,'Cadastro de Produtos'!F25,Agosto!$D:$D)=0,"",(SUMIF(Agosto!$F:$F,'Cadastro de Produtos'!F25,Agosto!$I:$I)/SUMIF(Agosto!$F:$F,'Cadastro de Produtos'!F25,Agosto!$D:$D)-J41)/J41))</f>
        <v/>
      </c>
      <c r="K62" s="44" t="str">
        <f>IF('Cadastro de Produtos'!F25="","",IF(SUMIF(Setembro!$F:$F,'Cadastro de Produtos'!F25,Setembro!$D:$D)=0,"",(SUMIF(Setembro!$F:$F,'Cadastro de Produtos'!F25,Setembro!$I:$I)/SUMIF(Setembro!$F:$F,'Cadastro de Produtos'!F25,Setembro!$D:$D)-K41)/K41))</f>
        <v/>
      </c>
      <c r="L62" s="44" t="str">
        <f>IF('Cadastro de Produtos'!F25="","",IF(SUMIF(Outubro!$F:$F,'Cadastro de Produtos'!F25,Outubro!$D:$D)=0,"",(SUMIF(Outubro!$F:$F,'Cadastro de Produtos'!F25,Outubro!$I:$I)/SUMIF(Outubro!$F:$F,'Cadastro de Produtos'!F25,Outubro!$D:$D)-L41)/L41))</f>
        <v/>
      </c>
      <c r="M62" s="44" t="str">
        <f>IF('Cadastro de Produtos'!F25="","",IF(SUMIF(Novembro!$F:$F,'Cadastro de Produtos'!F25,Novembro!$D:$D)=0,"",(SUMIF(Novembro!$F:$F,'Cadastro de Produtos'!F25,Novembro!$I:$I)/SUMIF(Novembro!$F:$F,'Cadastro de Produtos'!F25,Novembro!$D:$D)-M41)/M41))</f>
        <v/>
      </c>
      <c r="N62" s="44" t="str">
        <f>IF('Cadastro de Produtos'!F25="","",IF(SUMIF(Dezembro!$F:$F,'Cadastro de Produtos'!F25,Dezembro!$D:$D)=0,"",(SUMIF(Dezembro!$F:$F,'Cadastro de Produtos'!F25,Dezembro!$I:$I)/SUMIF(Dezembro!$F:$F,'Cadastro de Produtos'!F25,Dezembro!$D:$D)-N41)/N41))</f>
        <v/>
      </c>
    </row>
    <row r="64" spans="2:14" ht="20.85" customHeight="1" x14ac:dyDescent="0.25">
      <c r="B64" s="59" t="s">
        <v>125</v>
      </c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</row>
  </sheetData>
  <sheetProtection sheet="1" autoFilter="0"/>
  <mergeCells count="24">
    <mergeCell ref="C22:D22"/>
    <mergeCell ref="C23:D23"/>
    <mergeCell ref="C24:D24"/>
    <mergeCell ref="C25:D25"/>
    <mergeCell ref="D10:E10"/>
    <mergeCell ref="B13:C13"/>
    <mergeCell ref="F13:G13"/>
    <mergeCell ref="B2:G2"/>
    <mergeCell ref="B64:N64"/>
    <mergeCell ref="D8:E8"/>
    <mergeCell ref="D9:E9"/>
    <mergeCell ref="F12:G12"/>
    <mergeCell ref="B12:C12"/>
    <mergeCell ref="C31:D31"/>
    <mergeCell ref="C32:D32"/>
    <mergeCell ref="C33:D33"/>
    <mergeCell ref="C34:D34"/>
    <mergeCell ref="B40:N40"/>
    <mergeCell ref="C26:D26"/>
    <mergeCell ref="C27:D27"/>
    <mergeCell ref="C28:D28"/>
    <mergeCell ref="C29:D29"/>
    <mergeCell ref="C30:D30"/>
    <mergeCell ref="B21:D21"/>
  </mergeCells>
  <conditionalFormatting sqref="C43:N62">
    <cfRule type="expression" dxfId="1" priority="3">
      <formula>AND(C43&lt;&gt;"",C43&lt;0)</formula>
    </cfRule>
    <cfRule type="expression" dxfId="0" priority="4">
      <formula>AND(C43&lt;&gt;"",C43&gt;0)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F00-000002000000}">
            <xm:f>$B23='Lista de Produtos'!$D$3</xm:f>
            <x14:dxf>
              <font>
                <b/>
                <color rgb="FF5C3A6B"/>
              </font>
              <fill>
                <patternFill>
                  <bgColor rgb="FFE8DCEF"/>
                </patternFill>
              </fill>
            </x14:dxf>
          </x14:cfRule>
          <xm:sqref>B23:D34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16</vt:i4>
      </vt:variant>
      <vt:variant>
        <vt:lpstr>Intervalos Nomeados</vt:lpstr>
      </vt:variant>
      <vt:variant>
        <vt:i4>2</vt:i4>
      </vt:variant>
    </vt:vector>
  </HeadingPairs>
  <TitlesOfParts>
    <vt:vector size="18" baseType="lpstr">
      <vt:lpstr>Instruções</vt:lpstr>
      <vt:lpstr>Cadastro de Produtos</vt:lpstr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  <vt:lpstr>Lista de Produtos</vt:lpstr>
      <vt:lpstr>Painel</vt:lpstr>
      <vt:lpstr>'Lista de Produtos'!Area_de_impressao</vt:lpstr>
      <vt:lpstr>'Lista de Produtos'!Titulos_de_impressao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edelson santos</cp:lastModifiedBy>
  <cp:revision>1</cp:revision>
  <cp:lastPrinted>2026-08-24T20:16:53Z</cp:lastPrinted>
  <dcterms:created xsi:type="dcterms:W3CDTF">2026-08-23T22:54:22Z</dcterms:created>
  <dcterms:modified xsi:type="dcterms:W3CDTF">2026-08-24T20:18:56Z</dcterms:modified>
  <dc:language>en-US</dc:language>
</cp:coreProperties>
</file>